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Projekty aktualne\MZDW_Solec Nad Wisłą_1 most\Wersja elektroniczna\6_Przedmiar orbót\"/>
    </mc:Choice>
  </mc:AlternateContent>
  <bookViews>
    <workbookView xWindow="0" yWindow="0" windowWidth="28800" windowHeight="14235"/>
  </bookViews>
  <sheets>
    <sheet name="przedmiar" sheetId="3" r:id="rId1"/>
  </sheets>
  <definedNames>
    <definedName name="_xlnm._FilterDatabase" localSheetId="0" hidden="1">przedmiar!$A$12:$J$218</definedName>
    <definedName name="katalog" localSheetId="0">przedmiar!#REF!</definedName>
    <definedName name="katalog_1" localSheetId="0">przedmiar!#REF!</definedName>
    <definedName name="katalog_2" localSheetId="0">przedmiar!$B$9:$F$167</definedName>
    <definedName name="katalog_3" localSheetId="0">przedmiar!$B$9:$G$167</definedName>
    <definedName name="_xlnm.Print_Area" localSheetId="0">przedmiar!$A$1:$H$222</definedName>
    <definedName name="_xlnm.Print_Titles" localSheetId="0">przedmiar!$9:$12</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164" i="3" l="1"/>
  <c r="G166" i="3" l="1"/>
  <c r="G164" i="3"/>
  <c r="G145" i="3"/>
  <c r="G131" i="3"/>
  <c r="G85" i="3"/>
  <c r="G86" i="3"/>
  <c r="G80" i="3"/>
  <c r="G60" i="3"/>
  <c r="G78" i="3"/>
  <c r="G38" i="3"/>
  <c r="G37" i="3"/>
  <c r="G36" i="3"/>
  <c r="G35" i="3"/>
  <c r="G179" i="3" l="1"/>
  <c r="G184" i="3" l="1"/>
  <c r="G106" i="3" l="1"/>
  <c r="G197" i="3" l="1"/>
  <c r="G195" i="3"/>
  <c r="G194" i="3"/>
  <c r="G192" i="3"/>
  <c r="G196" i="3"/>
  <c r="G193" i="3"/>
  <c r="G188" i="3" l="1"/>
  <c r="G187" i="3"/>
  <c r="G186" i="3"/>
  <c r="G185" i="3"/>
  <c r="G143" i="3" l="1"/>
  <c r="G141" i="3"/>
  <c r="G139" i="3"/>
  <c r="G134" i="3"/>
  <c r="G135" i="3"/>
  <c r="G123" i="3"/>
  <c r="G120" i="3"/>
  <c r="G217" i="3" l="1"/>
  <c r="G212" i="3" l="1"/>
  <c r="G137" i="3"/>
  <c r="G203" i="3" l="1"/>
  <c r="G202" i="3"/>
  <c r="G200" i="3"/>
  <c r="F211" i="3" s="1"/>
  <c r="G211" i="3" s="1"/>
  <c r="G199" i="3"/>
  <c r="F210" i="3" s="1"/>
  <c r="G210" i="3" s="1"/>
  <c r="G216" i="3"/>
  <c r="G218" i="3"/>
  <c r="G214" i="3"/>
  <c r="G206" i="3"/>
  <c r="G205" i="3"/>
  <c r="G190" i="3"/>
  <c r="G176" i="3"/>
  <c r="G175" i="3"/>
  <c r="G174" i="3"/>
  <c r="G157" i="3"/>
  <c r="G171" i="3"/>
  <c r="G173" i="3"/>
  <c r="G168" i="3"/>
  <c r="G167" i="3"/>
  <c r="G161" i="3" l="1"/>
  <c r="G158" i="3"/>
  <c r="G159" i="3"/>
  <c r="G156" i="3"/>
  <c r="G155" i="3"/>
  <c r="G153" i="3"/>
  <c r="G151" i="3"/>
  <c r="G152" i="3"/>
  <c r="G150" i="3"/>
  <c r="G147" i="3"/>
  <c r="G144" i="3"/>
  <c r="G129" i="3"/>
  <c r="G122" i="3"/>
  <c r="G113" i="3"/>
  <c r="G110" i="3"/>
  <c r="G108" i="3"/>
  <c r="G104" i="3"/>
  <c r="G101" i="3"/>
  <c r="G100" i="3"/>
  <c r="G95" i="3"/>
  <c r="G94" i="3"/>
  <c r="G71" i="3"/>
  <c r="G70" i="3"/>
  <c r="G91" i="3" l="1"/>
  <c r="G89" i="3"/>
  <c r="G83" i="3"/>
  <c r="G77" i="3"/>
  <c r="G76" i="3"/>
  <c r="G75" i="3"/>
  <c r="G69" i="3"/>
  <c r="G73" i="3"/>
  <c r="G64" i="3" l="1"/>
  <c r="G50" i="3"/>
  <c r="G39" i="3"/>
  <c r="G41" i="3"/>
  <c r="G25" i="3"/>
  <c r="G23" i="3"/>
  <c r="G20" i="3"/>
  <c r="G19" i="3"/>
  <c r="G42" i="3" l="1"/>
  <c r="G43" i="3"/>
  <c r="G40" i="3"/>
  <c r="G30" i="3"/>
  <c r="G32" i="3"/>
  <c r="G31" i="3"/>
  <c r="G29" i="3"/>
  <c r="G28" i="3"/>
  <c r="G27" i="3"/>
  <c r="G26" i="3"/>
  <c r="G182" i="3" l="1"/>
  <c r="G125" i="3" l="1"/>
  <c r="G142" i="3" l="1"/>
  <c r="G133" i="3"/>
  <c r="G128" i="3"/>
  <c r="G124" i="3"/>
  <c r="G121" i="3"/>
  <c r="G119" i="3"/>
  <c r="G118" i="3"/>
  <c r="G96" i="3"/>
  <c r="G67" i="3"/>
  <c r="G63" i="3"/>
  <c r="G61" i="3"/>
  <c r="G57" i="3"/>
  <c r="G56" i="3"/>
  <c r="G55" i="3"/>
  <c r="G53" i="3"/>
  <c r="G52" i="3"/>
  <c r="G33" i="3"/>
  <c r="G21" i="3"/>
  <c r="G16" i="3"/>
  <c r="G15" i="3"/>
  <c r="A16" i="3"/>
  <c r="A17" i="3" l="1"/>
  <c r="A19" i="3" s="1"/>
  <c r="A20" i="3" l="1"/>
  <c r="A21" i="3" s="1"/>
  <c r="H220" i="3" l="1"/>
  <c r="H169" i="3"/>
  <c r="A23" i="3" l="1"/>
  <c r="A25" i="3" l="1"/>
  <c r="A26" i="3" l="1"/>
  <c r="A27" i="3" l="1"/>
  <c r="A28" i="3" s="1"/>
  <c r="A29" i="3" l="1"/>
  <c r="A30" i="3" l="1"/>
  <c r="A31" i="3" s="1"/>
  <c r="A32" i="3" s="1"/>
  <c r="A33" i="3" s="1"/>
  <c r="A35" i="3" l="1"/>
  <c r="A36" i="3" s="1"/>
  <c r="A37" i="3" s="1"/>
  <c r="A38" i="3" l="1"/>
  <c r="A39" i="3" s="1"/>
  <c r="A40" i="3" s="1"/>
  <c r="A41" i="3" s="1"/>
  <c r="A42" i="3" s="1"/>
  <c r="A43" i="3" s="1"/>
  <c r="A44" i="3" s="1"/>
  <c r="A46" i="3" s="1"/>
  <c r="A47" i="3" s="1"/>
  <c r="A50" i="3" l="1"/>
  <c r="A51" i="3" s="1"/>
  <c r="A52" i="3" s="1"/>
  <c r="A53" i="3" l="1"/>
  <c r="A55" i="3" l="1"/>
  <c r="A56" i="3" s="1"/>
  <c r="A57" i="3" l="1"/>
  <c r="A60" i="3" l="1"/>
  <c r="A61" i="3" l="1"/>
  <c r="A63" i="3" l="1"/>
  <c r="A64" i="3" s="1"/>
  <c r="A67" i="3" l="1"/>
  <c r="A69" i="3" l="1"/>
  <c r="A70" i="3" s="1"/>
  <c r="A71" i="3" s="1"/>
  <c r="A73" i="3" l="1"/>
  <c r="A75" i="3" l="1"/>
  <c r="A76" i="3" s="1"/>
  <c r="A77" i="3" l="1"/>
  <c r="A78" i="3" s="1"/>
  <c r="A80" i="3" s="1"/>
  <c r="A83" i="3" l="1"/>
  <c r="A85" i="3" s="1"/>
  <c r="A86" i="3" l="1"/>
  <c r="A89" i="3" s="1"/>
  <c r="A91" i="3" l="1"/>
  <c r="A94" i="3" l="1"/>
  <c r="A95" i="3" s="1"/>
  <c r="A96" i="3" s="1"/>
  <c r="A98" i="3" s="1"/>
  <c r="A100" i="3" s="1"/>
  <c r="A101" i="3" s="1"/>
  <c r="A104" i="3" l="1"/>
  <c r="A106" i="3" l="1"/>
  <c r="A108" i="3" s="1"/>
  <c r="A110" i="3" s="1"/>
  <c r="A113" i="3" l="1"/>
  <c r="A115" i="3" l="1"/>
  <c r="A118" i="3" l="1"/>
  <c r="A119" i="3" l="1"/>
  <c r="A120" i="3" l="1"/>
  <c r="A121" i="3" l="1"/>
  <c r="A122" i="3" l="1"/>
  <c r="A123" i="3" s="1"/>
  <c r="A124" i="3" s="1"/>
  <c r="A125" i="3" l="1"/>
  <c r="A128" i="3" s="1"/>
  <c r="A129" i="3" l="1"/>
  <c r="A131" i="3" s="1"/>
  <c r="A133" i="3" s="1"/>
  <c r="A134" i="3" l="1"/>
  <c r="A135" i="3" s="1"/>
  <c r="A136" i="3" s="1"/>
  <c r="A137" i="3" s="1"/>
  <c r="A139" i="3" s="1"/>
  <c r="A141" i="3" l="1"/>
  <c r="A142" i="3" l="1"/>
  <c r="A143" i="3" s="1"/>
  <c r="A144" i="3" s="1"/>
  <c r="A145" i="3" s="1"/>
  <c r="A147" i="3" l="1"/>
  <c r="A150" i="3" l="1"/>
  <c r="A151" i="3" s="1"/>
  <c r="A152" i="3" s="1"/>
  <c r="A153" i="3" s="1"/>
  <c r="A155" i="3" s="1"/>
  <c r="A156" i="3" s="1"/>
  <c r="A157" i="3" s="1"/>
  <c r="A158" i="3" l="1"/>
  <c r="A159" i="3" s="1"/>
  <c r="A161" i="3" s="1"/>
  <c r="A166" i="3" l="1"/>
  <c r="A167" i="3" s="1"/>
  <c r="A168" i="3" l="1"/>
  <c r="A171" i="3" s="1"/>
  <c r="A173" i="3" s="1"/>
  <c r="A174" i="3" s="1"/>
  <c r="A175" i="3" l="1"/>
  <c r="A176" i="3" l="1"/>
  <c r="A179" i="3"/>
  <c r="A182" i="3" s="1"/>
  <c r="A184" i="3" s="1"/>
  <c r="A185" i="3" s="1"/>
  <c r="A186" i="3" s="1"/>
  <c r="A187" i="3" l="1"/>
  <c r="A188" i="3" s="1"/>
  <c r="A190" i="3" l="1"/>
  <c r="A192" i="3" s="1"/>
  <c r="A193" i="3" s="1"/>
  <c r="A194" i="3" s="1"/>
  <c r="A195" i="3" s="1"/>
  <c r="A196" i="3" s="1"/>
  <c r="A197" i="3" s="1"/>
  <c r="A199" i="3" s="1"/>
  <c r="A200" i="3" s="1"/>
  <c r="A202" i="3" s="1"/>
  <c r="A203" i="3" s="1"/>
  <c r="A205" i="3" l="1"/>
  <c r="A206" i="3" s="1"/>
  <c r="A208" i="3" s="1"/>
  <c r="A210" i="3" s="1"/>
  <c r="A211" i="3" s="1"/>
  <c r="A212" i="3" s="1"/>
  <c r="A214" i="3" s="1"/>
  <c r="A216" i="3" l="1"/>
  <c r="A217" i="3" s="1"/>
  <c r="A218" i="3" s="1"/>
</calcChain>
</file>

<file path=xl/connections.xml><?xml version="1.0" encoding="utf-8"?>
<connections xmlns="http://schemas.openxmlformats.org/spreadsheetml/2006/main">
  <connection id="1" name="katalog" type="6" refreshedVersion="3" background="1">
    <textPr codePage="65001" sourceFile="K:\09. Design\02. Jobs\PL1133 - Antoninek\DESIGN DOCUMENTATION\MOSTY\ST\SST KO 09 05 2008\katalog.txt" decimal="," thousands=" " space="1" consecutive="1" delimiter="_">
      <textFields count="9">
        <textField/>
        <textField/>
        <textField/>
        <textField/>
        <textField/>
        <textField/>
        <textField/>
        <textField/>
        <textField/>
      </textFields>
    </textPr>
  </connection>
  <connection id="2" name="katalog11" type="6" refreshedVersion="3" background="1">
    <textPr codePage="65001" sourceFile="K:\09. Design\02. Jobs\PL1133 - Antoninek\DESIGN DOCUMENTATION\MOSTY\ST\SST KO 09 05 2008\katalog.txt" decimal="," thousands=" " delimiter="_">
      <textFields count="2">
        <textField/>
        <textField/>
      </textFields>
    </textPr>
  </connection>
  <connection id="3" name="katalog21" type="6" refreshedVersion="3" background="1" saveData="1">
    <textPr codePage="65001" sourceFile="K:\09. Design\02. Jobs\PL1133 - Antoninek\DESIGN DOCUMENTATION\MOSTY\ST\SST KO 09 05 2008\katalog.txt" decimal="," thousands=" " space="1" consecutive="1" delimiter="_">
      <textFields count="12">
        <textField/>
        <textField/>
        <textField/>
        <textField/>
        <textField/>
        <textField/>
        <textField/>
        <textField/>
        <textField/>
        <textField/>
        <textField/>
        <textField/>
      </textFields>
    </textPr>
  </connection>
  <connection id="4" name="katalog21111" type="6" refreshedVersion="3" background="1" saveData="1">
    <textPr codePage="65001" sourceFile="K:\09. Design\02. Jobs\PL1133 - Antoninek\DESIGN DOCUMENTATION\MOSTY\ST\SST KO 09 05 2008\katalog.txt" decimal="," thousands=" " space="1" consecutive="1" delimiter="_">
      <textFields count="12">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<sst xmlns="http://schemas.openxmlformats.org/spreadsheetml/2006/main" count="539" uniqueCount="400">
  <si>
    <t>M.12.01.02</t>
  </si>
  <si>
    <t>M.13.01.01</t>
  </si>
  <si>
    <t>M.16.01.03</t>
  </si>
  <si>
    <t>M.12.00.00</t>
  </si>
  <si>
    <t>ZBROJENIE</t>
  </si>
  <si>
    <t>M.13.00.00</t>
  </si>
  <si>
    <t>BETON</t>
  </si>
  <si>
    <t>M.15.00.00</t>
  </si>
  <si>
    <t>M.16.00.00</t>
  </si>
  <si>
    <t>ODWODNIENIE</t>
  </si>
  <si>
    <t>M.18.00.00</t>
  </si>
  <si>
    <t>URZĄDZENIA DYLATACYJNE</t>
  </si>
  <si>
    <t>ELEMENTY ZABEZPIECZAJĄCE</t>
  </si>
  <si>
    <t>M.20.00.00</t>
  </si>
  <si>
    <t>INNE ROBOTY MOSTOWE</t>
  </si>
  <si>
    <t>Powierzchniowe zabezpieczenie betonu</t>
  </si>
  <si>
    <t>Nr</t>
  </si>
  <si>
    <t>Jednostka</t>
  </si>
  <si>
    <t>LP.</t>
  </si>
  <si>
    <t>rys.</t>
  </si>
  <si>
    <t>Specyfikacji</t>
  </si>
  <si>
    <t>Technicznej</t>
  </si>
  <si>
    <t>nazwa</t>
  </si>
  <si>
    <t>ilość</t>
  </si>
  <si>
    <t>D.01.00.00</t>
  </si>
  <si>
    <t>ROBOTY PRZYGOTOWAWCZE</t>
  </si>
  <si>
    <t>Cena jednostkowa</t>
  </si>
  <si>
    <t>zł/jedn.</t>
  </si>
  <si>
    <t>Wartość</t>
  </si>
  <si>
    <t>zł</t>
  </si>
  <si>
    <t>m3</t>
  </si>
  <si>
    <t>m</t>
  </si>
  <si>
    <t>szt.</t>
  </si>
  <si>
    <t>kg</t>
  </si>
  <si>
    <t>m2</t>
  </si>
  <si>
    <t xml:space="preserve">D.01.01.01 </t>
  </si>
  <si>
    <t>Obsługa geodezyjna obiektu</t>
  </si>
  <si>
    <t>km</t>
  </si>
  <si>
    <t>kpl</t>
  </si>
  <si>
    <t>D.02.00.00</t>
  </si>
  <si>
    <t>ROBOTY ZIEMNE</t>
  </si>
  <si>
    <t>D.05.00.00</t>
  </si>
  <si>
    <t>NAWIERZCHNIE</t>
  </si>
  <si>
    <t>D.04.00.00</t>
  </si>
  <si>
    <t>PODBUDOWY</t>
  </si>
  <si>
    <t>D.06.00.00</t>
  </si>
  <si>
    <t>D.06.01.02.</t>
  </si>
  <si>
    <t>D.08.00.00</t>
  </si>
  <si>
    <t>ELEMENTY ULIC</t>
  </si>
  <si>
    <t>D.07.00.00</t>
  </si>
  <si>
    <t>URZĄDZENIA BEZPIECZEŃSTWA RUCHU</t>
  </si>
  <si>
    <t>D.07.03.01</t>
  </si>
  <si>
    <t>D.07.05.01</t>
  </si>
  <si>
    <t>D.08.02.02</t>
  </si>
  <si>
    <t xml:space="preserve">Umocnienie powierzchni skarp, rowów i ścieków </t>
  </si>
  <si>
    <t>D.02.01.01</t>
  </si>
  <si>
    <t xml:space="preserve">D.01.02.01 </t>
  </si>
  <si>
    <t>D.06.01.03.</t>
  </si>
  <si>
    <t>zbrojenie płyt przejściowych</t>
  </si>
  <si>
    <t>M.20.01.13</t>
  </si>
  <si>
    <t>D.02.02.01</t>
  </si>
  <si>
    <t>M.13.02.01</t>
  </si>
  <si>
    <t>M.15.01.01</t>
  </si>
  <si>
    <t>M.15.02.01</t>
  </si>
  <si>
    <t>D.04.03.01</t>
  </si>
  <si>
    <t>Oczyszczenie i skropienie lepiszczem warstw konstrukcyjnych i bitumicznych</t>
  </si>
  <si>
    <t>D.04.02.01</t>
  </si>
  <si>
    <t>Usunięcie drzew i krzewów</t>
  </si>
  <si>
    <t>D.01.02.03</t>
  </si>
  <si>
    <t xml:space="preserve">D.01.02.02 </t>
  </si>
  <si>
    <t>Bariery ochronne</t>
  </si>
  <si>
    <t>Izolacja bitumiczna wykonana na gorąco</t>
  </si>
  <si>
    <t>M.18.02.01</t>
  </si>
  <si>
    <t>Zalewki bitumiczne w szczelinach dylatacyjnych</t>
  </si>
  <si>
    <t>Izolacja bitumiczna wykonana na zimno</t>
  </si>
  <si>
    <t>izolacja płyt przejściowych</t>
  </si>
  <si>
    <t>Wykonanie nasypów</t>
  </si>
  <si>
    <t>Wyburzenie obiektów budowlanych i inżynierskich</t>
  </si>
  <si>
    <t>M.18.01.02</t>
  </si>
  <si>
    <t>Dylatacje bitumiczne</t>
  </si>
  <si>
    <t>przygotowanie warstwy podbudowy z kruszywa łamanego na dojazdach do mostu</t>
  </si>
  <si>
    <t>D.04.02.02</t>
  </si>
  <si>
    <t xml:space="preserve">Wykonanie wykopów w gruntach </t>
  </si>
  <si>
    <t>Obrzeża betonowe chodnikowe</t>
  </si>
  <si>
    <t>Nawierzchnia z żywic epoksydowo-poliuretanowych</t>
  </si>
  <si>
    <t>odtworzenie trasy i punktów wysokościowych</t>
  </si>
  <si>
    <t>przygotowanie warstwy podbudowy zasadniczej z betonu asfaltowego na dojazdach do mostu</t>
  </si>
  <si>
    <t>M.11.00.00</t>
  </si>
  <si>
    <t>FUNDAMENTOWANIE</t>
  </si>
  <si>
    <t>Tymczasowa organizacja ruchu na czas robót</t>
  </si>
  <si>
    <t>D.01.02.04</t>
  </si>
  <si>
    <t>Rozbiórka elementów dróg i ulic</t>
  </si>
  <si>
    <t>M.13.03.01</t>
  </si>
  <si>
    <t>M.19.01.01</t>
  </si>
  <si>
    <t>Krawężnik mostowy typu A</t>
  </si>
  <si>
    <t>Wyszczególnienie elementów rozliczeniowych</t>
  </si>
  <si>
    <t>wyliczenie</t>
  </si>
  <si>
    <t>M.13.01.03</t>
  </si>
  <si>
    <t>M.13.01.05</t>
  </si>
  <si>
    <t>M.13.01.08</t>
  </si>
  <si>
    <r>
      <t xml:space="preserve">Krawężnik kamienny                                                                    </t>
    </r>
    <r>
      <rPr>
        <i/>
        <sz val="9"/>
        <rFont val="Times New Roman"/>
        <family val="1"/>
        <charset val="238"/>
      </rPr>
      <t xml:space="preserve">               </t>
    </r>
  </si>
  <si>
    <t>D.08.01.02</t>
  </si>
  <si>
    <t>przygotowanie istniejącej (sfrezowanej) nawierzchni jezdni na dojazdach do mostu</t>
  </si>
  <si>
    <t>przygotowanie warstwy wiążącej z betonu asfaltowego na płycie pomostu i dojazdach</t>
  </si>
  <si>
    <t>D.07.01.01</t>
  </si>
  <si>
    <t>Oznakowanie poziome i pionowe</t>
  </si>
  <si>
    <t>wykonanie linii podwójnej ciągłej P-4</t>
  </si>
  <si>
    <t>Zdjęcie warstwy humusu i darniny</t>
  </si>
  <si>
    <t>izolacja płyty pomostu z papy termozgrzewalnej gr. 0,5cm</t>
  </si>
  <si>
    <t>dodatkowa izolacja płyty przejściowej z papy termozgrzewalnej gr. 0,5cm</t>
  </si>
  <si>
    <t>Sączki i drenaż izolacji</t>
  </si>
  <si>
    <t>M.20.01.08</t>
  </si>
  <si>
    <t>Wiercenie otworów w betonie z osadzeniem bolców stalowych i zbrojenia</t>
  </si>
  <si>
    <t>45233220-7 Roboty w zakresie nawierzchni dróg</t>
  </si>
  <si>
    <t xml:space="preserve">kod CPV:  </t>
  </si>
  <si>
    <t xml:space="preserve">45221111-3 Mosty drogowe                                                                                                                   </t>
  </si>
  <si>
    <t>D.05.03.05a</t>
  </si>
  <si>
    <t>D.05.03.05b</t>
  </si>
  <si>
    <t>Umocnienie skarp nasypów przez humusowanie i darniowanie</t>
  </si>
  <si>
    <t>M.19.00.00</t>
  </si>
  <si>
    <t>demontaż bariery drogowej stanowiącej przedłużenie bariery na moście</t>
  </si>
  <si>
    <t>warstwa podbudowy zasadniczej z mieszanki AC 22 P 35/50 gr. 11cm</t>
  </si>
  <si>
    <t>IZOLACJE I NAWIERZCHNIE</t>
  </si>
  <si>
    <t>M.15.03.21</t>
  </si>
  <si>
    <t>kpl.</t>
  </si>
  <si>
    <t>D.08.05.06</t>
  </si>
  <si>
    <t>M.11.01.07</t>
  </si>
  <si>
    <t>Zasypanie przestrzeni za przyczółkami gruntem niespoistym</t>
  </si>
  <si>
    <t>zbrojenie fundamentów oporowych umocnienia stożków</t>
  </si>
  <si>
    <t>izolacja korpusu przyczółka i ścianki zaplecznej</t>
  </si>
  <si>
    <t>drenaż podłużny wzdłuż osi odwodnienia i za krawężnikiami</t>
  </si>
  <si>
    <t>Umocnienie stożków przyczółków</t>
  </si>
  <si>
    <t>M.20.01.05</t>
  </si>
  <si>
    <t>M.20.01.11</t>
  </si>
  <si>
    <t xml:space="preserve">Umocnienie koryta rzeki </t>
  </si>
  <si>
    <t>M.20.01.10</t>
  </si>
  <si>
    <t>Schody skarpowe prefabrykowane</t>
  </si>
  <si>
    <t>M.20.02.10</t>
  </si>
  <si>
    <t>pokrycie odsłoniętych powierzchni betonowych przyczółków powłoką malarską z minimalną zdolnością pokrywania zarysowań, o gr. 0,3&lt;d&lt;1,0mm</t>
  </si>
  <si>
    <t>M.20.03.01</t>
  </si>
  <si>
    <t xml:space="preserve">Szpachlowanie powierzchni betonowych zaprawami typu PCC </t>
  </si>
  <si>
    <t>M.20.01.12</t>
  </si>
  <si>
    <t>M.20.01.16</t>
  </si>
  <si>
    <t>Drenaże z rur perforowanych</t>
  </si>
  <si>
    <t xml:space="preserve">Nawierzchnia z betonu asfaltowego. Warstwa ścieralna wg WT-1 i WT-2 </t>
  </si>
  <si>
    <t>Nawierzchnia z betonu asfaltowego. Warstwa wiążąca i wyrównawcza wg WT-1 i WT-2</t>
  </si>
  <si>
    <t>Podbudowa zasadnicza z betonu asfaltowego wg WT-1 i WT-2</t>
  </si>
  <si>
    <t xml:space="preserve">ROBOTY WYKOŃCZENIOWE </t>
  </si>
  <si>
    <t xml:space="preserve">45221100-3 Roboty budowlane w zakresie mostów                                                                                                                  </t>
  </si>
  <si>
    <t>obsługa geodezyjna przy robotach remontowych</t>
  </si>
  <si>
    <t>ewentualna rozbiórka istniejących płyt przejściowych</t>
  </si>
  <si>
    <t>rozebranie istniejącej podbudowy z mieszanki niezwiązanej gr. ok. 20cm</t>
  </si>
  <si>
    <t>reprofilacja poboczy na dojazdach - gruntem z odkładu</t>
  </si>
  <si>
    <t>D.03.00.00</t>
  </si>
  <si>
    <t>ODWODNIENIE KORPUSU DROGOWEGO</t>
  </si>
  <si>
    <t>D.03.02.01</t>
  </si>
  <si>
    <t>Wykonanie przykanalika</t>
  </si>
  <si>
    <t>Wykonanie studzienek ściekowych</t>
  </si>
  <si>
    <t xml:space="preserve">wykonanie prefabrykowanego wylotu przykanalika </t>
  </si>
  <si>
    <t>D.03.02.03</t>
  </si>
  <si>
    <t>D.04.01.03</t>
  </si>
  <si>
    <t>warstwa wiążąca na dojazdach do mostu z mieszanki 
AC 16 W PMB 25/55-60 gr. 8cm</t>
  </si>
  <si>
    <t>D.04.04.04</t>
  </si>
  <si>
    <t>Zabezpieczenie nawierzchni bitumicznej geokompozytem</t>
  </si>
  <si>
    <t>ułożenie 1,0m pasma geokompozytu na warstwie podbudowy zasadniczej na połączeniu poprzecznym między nową i istniejącą nawierzchnią</t>
  </si>
  <si>
    <t>montaż elementów odblaskowych U-1c</t>
  </si>
  <si>
    <t>wykonanie zasypki inżynierskiej za przyczółkami i pod płytami przejściowymi</t>
  </si>
  <si>
    <t>M.11.07.01</t>
  </si>
  <si>
    <t>zabezpieczenie wykopu w obrębie dojazdów do mostu, realizowanego metodą polówkową, za pomocą tymczasowej ścianki szczelnej z grodzic stalowych, typ grodzic, ich długość oraz dokładną lokalizację w planie pozostawia się do ustalenia przez Wykonawcę na etapie opracowywania przez Wykonawcę projektu technologicznego zabezpieczenia wykopów. Wykonawca w cenie jednostkowej wykonania tymczasowej ścianki szczelnej musi uwzględnić koszt opracowania projektu technologicznego zabezpieczenia wykopów podczas trwania tymczasowej organizacji ruchu, koszt wszystkich materiałów podstawowych i pomocniczych wraz z kosztem ich dostawy, niezbędnych do zrealizowania tego projektu technologicznego oraz koszt wykonania wszelkich czynności i robót związanych z realizacją tego projektu.</t>
  </si>
  <si>
    <t>Tymczasowa ścianka szczelna stalowa</t>
  </si>
  <si>
    <t>Beton podpór klasy C30/37 w deskowaniu</t>
  </si>
  <si>
    <t>beton dobetonowywanych elementów korpusów i skrzydeł przyczółków</t>
  </si>
  <si>
    <t>Beton płyt przejściowych klasy C30/37</t>
  </si>
  <si>
    <t>wykonanie płyt przejściowych</t>
  </si>
  <si>
    <t>beton wyrównawczy pod płyty przejściowe klasy C12/15</t>
  </si>
  <si>
    <t>beton wyrównawczy pod fundamenty oporowe klasy C12/15</t>
  </si>
  <si>
    <t>beton wyrównawczy pod studzienki osadnikowe klasy C12/15</t>
  </si>
  <si>
    <t>izolacja skrzydeł i korpusów przyczółków</t>
  </si>
  <si>
    <t>20 cm pasek izolacji skrzydeł i korpusów przyczółków nad umocnieniem</t>
  </si>
  <si>
    <t>izolacja fundamentów oporowych umocnienia stożków</t>
  </si>
  <si>
    <t>dren poprzeczny dł. 0,5m pod krawężnikami i kapą chodnikową, w rozstawie co 0,5m oraz dren poprzeczny przed dyalatacjami</t>
  </si>
  <si>
    <t xml:space="preserve">ustawienie krawężnika granitowego o wymiarach 18x20cm, kotwionego do kap chodnikowych </t>
  </si>
  <si>
    <t>Zabezpieczenie łożysk stalowych</t>
  </si>
  <si>
    <r>
      <t xml:space="preserve">palisada z kołków drewanianych </t>
    </r>
    <r>
      <rPr>
        <sz val="8"/>
        <color indexed="16"/>
        <rFont val="Czcionka tekstu podstawowego"/>
        <charset val="238"/>
      </rPr>
      <t>Ø</t>
    </r>
    <r>
      <rPr>
        <i/>
        <sz val="8"/>
        <color indexed="16"/>
        <rFont val="Times New Roman"/>
        <family val="1"/>
        <charset val="238"/>
      </rPr>
      <t>15 i dł. 1,5m</t>
    </r>
  </si>
  <si>
    <t>reprofilacja ubytków betonu podpór gr. średniej 5cm</t>
  </si>
  <si>
    <t>reprofilacja ubytków betonu ustroju nośnego gr. średniej 2cm</t>
  </si>
  <si>
    <t>reprofilacja ubytków betonu podpór gr. średniej 2cm</t>
  </si>
  <si>
    <t>reprofilacja ubytków betonu ustroju nośnego gr. średniej 5cm</t>
  </si>
  <si>
    <t xml:space="preserve">szpachlowanie powierzchni ustroju nośnego warstwą gr. min. 5mm </t>
  </si>
  <si>
    <t>oczyszczenie i zabezpieczenie antykorozyjne stalowych blach łozyskowych</t>
  </si>
  <si>
    <t>założyłem proporcję 60% do 40% powierzchni reprofilowanej</t>
  </si>
  <si>
    <t>wykopy pod fundamenty oporowe umocnień stożków - na odwóz</t>
  </si>
  <si>
    <t>Podbudowa z mieszanki kruszywa związanego hydraulicznie cementem</t>
  </si>
  <si>
    <t>podbudowa pomocnicza z kruszywa łamanego 0/31,5 C90/3 stabilizowanego mechanicznie gr. 20cm</t>
  </si>
  <si>
    <t>warstwa ścieralna na płycie pomostu i dojazdach z mieszanki                      AC 11 S PMB 45/80-55 gr. 4cm</t>
  </si>
  <si>
    <t>warstwa wiążąca na moście z mieszanki 
AC 16 W PMB 25/55-60 gr. 5cm</t>
  </si>
  <si>
    <r>
      <rPr>
        <i/>
        <sz val="8"/>
        <color theme="5" tint="-0.249977111117893"/>
        <rFont val="Times New Roman"/>
        <family val="1"/>
        <charset val="238"/>
      </rPr>
      <t>krawężnik drogowy 20x30cm na ławie betonowej z opor</t>
    </r>
    <r>
      <rPr>
        <i/>
        <sz val="8"/>
        <color indexed="16"/>
        <rFont val="Times New Roman"/>
        <family val="1"/>
        <charset val="238"/>
      </rPr>
      <t>em w obrębie dojazdów do mostu, łącznie z krawężnikiem zanikającym</t>
    </r>
  </si>
  <si>
    <t>Zbrojenie betonu stalą klasy AIII-N</t>
  </si>
  <si>
    <t>Beton fundamentów klasy min. C25/30 w deskowaniu</t>
  </si>
  <si>
    <t>beton fundamentów oporowych umocnienia stożków klasy C25/30</t>
  </si>
  <si>
    <t>Beton klasy poniżej C20/25</t>
  </si>
  <si>
    <t>Montaż prefabrykowanych desek gzymsowych</t>
  </si>
  <si>
    <t>dodatkowa warstwa izolacji pod kapami chodnikowymi</t>
  </si>
  <si>
    <t>nawierzchnioizolacja na kapach chodnikowych gr. min. 5mm</t>
  </si>
  <si>
    <t>styk gzymsu z kapą chodnikową oraz krawężnika z kapą chodnikową o wymiarach 2x3cm</t>
  </si>
  <si>
    <t xml:space="preserve">umocnienie stożków przyczółków kostką betonową na betonie klasy C12/15 gr.10cm, ze spoinowaniem </t>
  </si>
  <si>
    <t>schody skarpowe z betonowych elementów prefabrykowanych z poręczą zabezpieczoną antykorozyjnie, 2 biegi</t>
  </si>
  <si>
    <t>Reprofilacja ubytków betonu zaprawami typu PCC</t>
  </si>
  <si>
    <t>drenaż z rur perforowanych Ø110mm obsypanych tłuczniem 8-16mm i owiniętych geowłókniną, za płytami przejściowymi</t>
  </si>
  <si>
    <t>demontaż barieroporęczy na moście</t>
  </si>
  <si>
    <t>zbrojenie bloków pływających dylatacji bitumicznych</t>
  </si>
  <si>
    <t>beton klasy C30/37  bloków pływających dylatacji bitumicznych</t>
  </si>
  <si>
    <t>beton wyrównawczy pod wyloty przykanalików klasy C12/15</t>
  </si>
  <si>
    <t>rury lite Ø110mm jako kontynuacja rur drenażowych za płytami przejściowymi</t>
  </si>
  <si>
    <t>0,25*3,14*1,2*(2*3,4*3,4+ 2*3,6*3,6)</t>
  </si>
  <si>
    <t xml:space="preserve">Podbudowa z kruszywa łamanego stabilizowanego mechanicznie </t>
  </si>
  <si>
    <r>
      <t xml:space="preserve">PRZEDMIAR ROBÓT
</t>
    </r>
    <r>
      <rPr>
        <sz val="12"/>
        <color indexed="8"/>
        <rFont val="Times New Roman"/>
        <family val="1"/>
        <charset val="238"/>
      </rPr>
      <t>NA REMONT MOSTU NAD RZEKĄ KRĘPIANKĄ W KM 40+350 DROGI WOJEWÓDZKIEJ NR 754 W MIEJSCOWOŚCI SOLEC NAD WISŁĄ WRAZ Z DOJAZDAMI W NIEZBĘDNYM ZAKRESIE</t>
    </r>
    <r>
      <rPr>
        <b/>
        <sz val="12"/>
        <color indexed="8"/>
        <rFont val="Times New Roman"/>
        <family val="1"/>
        <charset val="238"/>
      </rPr>
      <t xml:space="preserve"> </t>
    </r>
    <r>
      <rPr>
        <sz val="12"/>
        <color indexed="8"/>
        <rFont val="Times New Roman"/>
        <family val="1"/>
        <charset val="238"/>
      </rPr>
      <t xml:space="preserve">                                                                                                                                  </t>
    </r>
  </si>
  <si>
    <t xml:space="preserve">inwentaryzacja powykonawcza wykonanych prac remontowych     </t>
  </si>
  <si>
    <t>zdjęcie warstwy humusu i darniny na odkład z powierzchni stożków i przewidzianych do reprofilacji skarp nasypu na dojazdach</t>
  </si>
  <si>
    <t>2*24,5</t>
  </si>
  <si>
    <t>rozbiórka nawierzchni jezdni z betonu asfaltowego gr. ok. 10-15cm</t>
  </si>
  <si>
    <t>7,0*18,7</t>
  </si>
  <si>
    <t>10,8*18,7</t>
  </si>
  <si>
    <t>demontaż istniejących krawężników na płycie pomostu</t>
  </si>
  <si>
    <t>2*18,7</t>
  </si>
  <si>
    <t>skucie gzymsów płyty pomostu oraz skrzydełek przyczółków</t>
  </si>
  <si>
    <t>2*24,5*0,25*0,28</t>
  </si>
  <si>
    <t>wywiercenie otowrów rewizyjnych do obetonowania strun belek</t>
  </si>
  <si>
    <t>2*7</t>
  </si>
  <si>
    <t>rozbiórka kap chodnikowych z prefabrykatów otworowych</t>
  </si>
  <si>
    <t>rozbiórka nawierzchni asfaltowej gr. 5cm na kapach chodnikowych i gzymsach skrzydełek</t>
  </si>
  <si>
    <t>2*18,7*1,7+2*2,9*0,9+2*2,9*1,0</t>
  </si>
  <si>
    <t>2*18,7*1,7*0,2+2*2,9*0,9*0,2 +2*2,9*1,0*0,2</t>
  </si>
  <si>
    <t>frezowanie nawierzchni z betonu asfaltowego gr. do 9cm</t>
  </si>
  <si>
    <t>rozebranie nawierzchni z betonu asfaltowego gr. około 0,3m</t>
  </si>
  <si>
    <t>rozbiórka krawężników betonowych na dojazdach do mostu</t>
  </si>
  <si>
    <t>5,5+7,8+6,1+5,8</t>
  </si>
  <si>
    <t>0,7*2,6+3,3*0,8+2,1*2</t>
  </si>
  <si>
    <t>rozbiórka nawierzhcni chodników i poboczy z kostki betonowej wraz z obrzeżem</t>
  </si>
  <si>
    <t>rozbiórka ścieku przykrawężnikowego z kostki betonowej</t>
  </si>
  <si>
    <t>5,6+7,8</t>
  </si>
  <si>
    <t>2,6*0,8+3,5*0,9</t>
  </si>
  <si>
    <t>rozbiórka nawierzhcni chodników i poboczy z betonu asfaltowego (przy skrzydłach przyczółków) gr. ok. 20cm</t>
  </si>
  <si>
    <t>zabezpieczenie istniejących znaków pionowych na czas robót zgodnie z projektem stałej organizacji ruchu</t>
  </si>
  <si>
    <t>Usunięcie istniejących drzew z karpinami</t>
  </si>
  <si>
    <t>Usunięcie samych karpin i pozostałości po wcześniej ściętych drzewach</t>
  </si>
  <si>
    <t>1,2*(15,5*3,6+11,3*4,3+12,1*3,6+ 2,2*4,1)+0,25*3,14*1,2*(4,1*4,1+4,3*4,3+3,9*3,9+3,8*3,8)</t>
  </si>
  <si>
    <t>2*8,0+12,0+15,5</t>
  </si>
  <si>
    <t>odkopanie istniejących przyczółków do poziomu wskazanego w dokumentacji rysunkowej, łącznie z wykonaniem wykopu w nasypie drogowym pod płyty przejściowe, studnie osadnikowe, ławy ścieków i krawężników - na odkład</t>
  </si>
  <si>
    <t>2*4,5*1,6*10,0</t>
  </si>
  <si>
    <t>odmulenie i reprofilacja koryta rzeki i trerenu zalewowwego pod projektowane umocnienie z gabionów - na odwóz</t>
  </si>
  <si>
    <t>reprofilacja skarp i stożków w obrebie mostu - gruntem z odkładu</t>
  </si>
  <si>
    <t>wyprofilowanie skarp koryta rzeki i terenu zalewowego na jego umacnianym odcinku oraz na odcinkach przejściowych - gruntem z odkładu</t>
  </si>
  <si>
    <t>przykanalik Ø200mm łączącego studzienki oraz odprowadzającego wodę ze studzienek</t>
  </si>
  <si>
    <t>6,35*(13,6+14,2)</t>
  </si>
  <si>
    <t>6,85*(7,00+7,50)</t>
  </si>
  <si>
    <t>6,35*(7,00+7,40)</t>
  </si>
  <si>
    <t>10,00*6,40+11,50*8,40</t>
  </si>
  <si>
    <t>humusowanie i darniowanie ze szpilkowaniem zreprofilowanych skarp nasypu drogowego</t>
  </si>
  <si>
    <t>1,2*(7,7*4,5+11,3*3,5+14,6*3,6+ 2,1*4,0)</t>
  </si>
  <si>
    <t>1,2*(7,4+4,4)</t>
  </si>
  <si>
    <t>podbudowa pomocnicza z kruszywa łamanego 0/31,5 C90/3 stabilizowanego mechanicznie gr. 20cm jako umocnienie poboczy</t>
  </si>
  <si>
    <t>17,5+29,0+19,0+1,0</t>
  </si>
  <si>
    <t>podbudowa pomocnicza z kruszywa łamanego 0/31,5 C90/3 stabilizowanego mechanicznie gr. 15cm, pod nawierzchnię chodnika</t>
  </si>
  <si>
    <t>4,2+11,2+8,4+10,0</t>
  </si>
  <si>
    <t>53,50*0,24</t>
  </si>
  <si>
    <t>wykonanie linii krawędziowej ciągłej P-7d</t>
  </si>
  <si>
    <t>107,5*0,12</t>
  </si>
  <si>
    <t>wbicie barier drogowych energochłonnych jednostronnych na dojazdach do mostu, stanowiących odcinki łączące barierporęcz na moscie z istniejącą barierą na dojazdach</t>
  </si>
  <si>
    <t>2*24,4</t>
  </si>
  <si>
    <t>6,3+5,5+7,8+7,8</t>
  </si>
  <si>
    <t>Obrzeże betonowe 8x30cm przy umocneiniach stożków i nawierzchni chodnika</t>
  </si>
  <si>
    <t>1,2*(4,3+3,8+3,8+3,7) +2,0+2,9+1,9+4,3+2,4</t>
  </si>
  <si>
    <t>5,5+2,1</t>
  </si>
  <si>
    <t>rozkopanie istniejących stożków skarpowych - na odwóz</t>
  </si>
  <si>
    <t>4,4*1,2*(10,0+10,5)</t>
  </si>
  <si>
    <t>zbrojenie nadbudowy skrzydełek przyczółków</t>
  </si>
  <si>
    <t>zbrojenie kap chodnikowych na płycie mostu</t>
  </si>
  <si>
    <t>zbrojenie kap pływających</t>
  </si>
  <si>
    <r>
      <t xml:space="preserve">wykonanie pali drewnianych </t>
    </r>
    <r>
      <rPr>
        <sz val="8"/>
        <color indexed="16"/>
        <rFont val="Czcionka tekstu podstawowego"/>
        <charset val="238"/>
      </rPr>
      <t>Ø</t>
    </r>
    <r>
      <rPr>
        <i/>
        <sz val="8"/>
        <color indexed="16"/>
        <rFont val="Times New Roman"/>
        <family val="1"/>
        <charset val="238"/>
      </rPr>
      <t>12</t>
    </r>
    <r>
      <rPr>
        <sz val="8"/>
        <color indexed="16"/>
        <rFont val="Czcionka tekstu podstawowego"/>
        <charset val="238"/>
      </rPr>
      <t>÷</t>
    </r>
    <r>
      <rPr>
        <i/>
        <sz val="8"/>
        <color indexed="16"/>
        <rFont val="Times New Roman"/>
        <family val="1"/>
        <charset val="238"/>
      </rPr>
      <t>15 i dł. 1,5m do zastablilizowania fundamentów oporowych</t>
    </r>
  </si>
  <si>
    <t>3*13+19</t>
  </si>
  <si>
    <t>beton klasy C30/37 nadbetonu płyty ustroju nośnego</t>
  </si>
  <si>
    <t>wykonanie ścieku skarpowego z prefabrykowanych betonowych płyt ściekowych typu trapezowego na min. 10 cm warstwie betonu klasy C12/15</t>
  </si>
  <si>
    <t>2*0,1*1,1*0,6</t>
  </si>
  <si>
    <t>beton wyrównawczy pod kapy pływajace klasy C12/15</t>
  </si>
  <si>
    <t>2*24,40</t>
  </si>
  <si>
    <t>2*((2,4+0,7+0,3)*(7,4+7,72)+2*0,3*4,1+2*0,4*0,35)</t>
  </si>
  <si>
    <t>28,0*(2*1,0+0,3)+4*1,0*0,3</t>
  </si>
  <si>
    <t>2*(0,3*11,1)+4*(4,2*0,8+4,2*0,3+ 4*0,5*3,0*2,7</t>
  </si>
  <si>
    <t>2*0,20*11,1+4*0,20*4,1</t>
  </si>
  <si>
    <t>11,22*18,66</t>
  </si>
  <si>
    <t>2*2,31*18,66</t>
  </si>
  <si>
    <t>2*(7,4+7,72)*1,7</t>
  </si>
  <si>
    <t>2*10,9*2,2</t>
  </si>
  <si>
    <t>4*1,0*2,3</t>
  </si>
  <si>
    <t>2,1*(24,5+24,9)</t>
  </si>
  <si>
    <t>studnia osadnikowa ∅600mm z wpustem ulicznym krawężnikowym klasy D400, osadnikiem i żelbetowym pierścieniem odciążającym, wysokości h=min. 2,0m</t>
  </si>
  <si>
    <t>studnia osadnikowa ∅800mm z wpustem ulicznym krawężnikowym klasy D400, osadnikiem i żelbetowym pierścieniem odciążającym, wysokości h=min. 2,0m</t>
  </si>
  <si>
    <t>4*18,66</t>
  </si>
  <si>
    <t>2*11,8+2*37*0,50</t>
  </si>
  <si>
    <t>2*11,89</t>
  </si>
  <si>
    <t>4*24,5</t>
  </si>
  <si>
    <t xml:space="preserve">szczelina między płytą przejściową a ścianką zapleczną, o wymiarach 1,5x60cm </t>
  </si>
  <si>
    <t>7,4+7,72</t>
  </si>
  <si>
    <t xml:space="preserve">szczelina między krawędzią ustroju nośnego a nadbudowaną ścianką zapleczną oraz nadbudową skrzydeł, o wymiarach 1,5x40cm </t>
  </si>
  <si>
    <t>4*2,0</t>
  </si>
  <si>
    <t>4*(2*1,9+2*0,5)</t>
  </si>
  <si>
    <t>1,2*2*3,9</t>
  </si>
  <si>
    <t>7,8+8,2</t>
  </si>
  <si>
    <t>4,9+5,2</t>
  </si>
  <si>
    <t>4,0+11,5+4,2+4,0+11,7+8,7</t>
  </si>
  <si>
    <t>7*3,2*17,7+2*7*0,2+ 17,7*(6*0,3+2*0,5)+2*0,5*11,8</t>
  </si>
  <si>
    <t xml:space="preserve">szpachlowanie odsłoniętych powierzchni podpór (w tym ścianki zaplecznej) warstwą gr. min. 5mm </t>
  </si>
  <si>
    <t>11,10*(2*0,8+2*0,8+1,3+1,5)+ 4*(0,2*0,8+0,95*1,5)+ 4*0,5*2,5*1,6+4*4*3,0*0,3</t>
  </si>
  <si>
    <t>pokrycie odsłoniętych powierzchni (powierzchnie belek płońsk oraz spób betonu monolitycznego) ustroju nośnego powłoką malarską bez zdolności pokrywania zarysowań, o gr. 0,05&lt;d&lt;0,3mm</t>
  </si>
  <si>
    <t>D.01.03.04</t>
  </si>
  <si>
    <t>M.20.02.01</t>
  </si>
  <si>
    <t>Montaż protektorów cynkowych</t>
  </si>
  <si>
    <t>M.20.02.02</t>
  </si>
  <si>
    <t>Zabezpieczenie stali zbrojeniowej w betonie inhibitorem korozji</t>
  </si>
  <si>
    <t>nasączenie otuliny betonowej ustroju nośnego</t>
  </si>
  <si>
    <t>nasączenie otuliny betonowej przyczółków</t>
  </si>
  <si>
    <t>beton klasy C30/37  bloków obetonowujących końcówki strun belek</t>
  </si>
  <si>
    <t>2*7*0,8*0,1*0,5</t>
  </si>
  <si>
    <t>inhibitor korozji jako domieszka do mieszanki betonowej (3% w stosunku do masy cementu)</t>
  </si>
  <si>
    <t>0,6*0,03*350</t>
  </si>
  <si>
    <t>usunięcie chwastów i roslinności krzaczastej z reprofilowanych skarp nasypu drogowego na dojazdach i koryta rzeki</t>
  </si>
  <si>
    <t>2*1,0*1,0</t>
  </si>
  <si>
    <t>ściek przykrawęznikowy z betonowej kostki brukowej wraz z ławą betonową</t>
  </si>
  <si>
    <r>
      <t xml:space="preserve">Ściek przykrawężnikowy z kostki brukowej                                                                </t>
    </r>
    <r>
      <rPr>
        <i/>
        <sz val="9"/>
        <rFont val="Times New Roman"/>
        <family val="1"/>
        <charset val="238"/>
      </rPr>
      <t xml:space="preserve">               </t>
    </r>
  </si>
  <si>
    <t>zbrojenie nadbudowy ścianki zaplecznej</t>
  </si>
  <si>
    <t>zbrojenie nadbetonu płyty pomostu</t>
  </si>
  <si>
    <t>1188,9+1234,5</t>
  </si>
  <si>
    <t>613,7+213,4</t>
  </si>
  <si>
    <t>3*1,5+1,7</t>
  </si>
  <si>
    <t>2*8,0</t>
  </si>
  <si>
    <t>10,0+11,0</t>
  </si>
  <si>
    <t>4,0+6,0</t>
  </si>
  <si>
    <t>3*1,5+1,5</t>
  </si>
  <si>
    <t>prefabrykat gzymsowy z betonu polimerowego dł. 1,0m, gr. min. 4cm i wys. 80cm</t>
  </si>
  <si>
    <t>izolacja na wewnętrznych powierzchniach skrzydełek</t>
  </si>
  <si>
    <t>szczelina między kapami chodnikowymi a blokami pływajacymi dylatacji bitumicznych o wymiarach 2x15cm</t>
  </si>
  <si>
    <t>osadzenie prętów Ø16mm na gł. średnią od 11cm do 16cm w płycie pomostu</t>
  </si>
  <si>
    <t>osadzenie prętów Ø16mm na gł. od 15cm do 18cm w skrzydełkach</t>
  </si>
  <si>
    <t>4*21</t>
  </si>
  <si>
    <t>osadzenie prętów Ø16mm na gł. od 17cm do 22cm w korpusie przyczółka</t>
  </si>
  <si>
    <t>2*(70+35+35)</t>
  </si>
  <si>
    <t>montaż kotew wklejanych w płycie pomostu</t>
  </si>
  <si>
    <t>montaż kotew wklejanych wskrzydełakch przyczółków</t>
  </si>
  <si>
    <t>2*2*37</t>
  </si>
  <si>
    <t>4*2*6</t>
  </si>
  <si>
    <t>0,2*460,6</t>
  </si>
  <si>
    <r>
      <t xml:space="preserve">odkucie luźnej, spękanej otuliny ustroju nośnego, oczyszczenie betonu i zbrojenia wraz z zabezpieczeniem antykorozyjnym odkrtych prętów zbrojeniowych </t>
    </r>
    <r>
      <rPr>
        <i/>
        <sz val="8"/>
        <color theme="5" tint="-0.249977111117893"/>
        <rFont val="Times New Roman"/>
        <family val="1"/>
        <charset val="238"/>
      </rPr>
      <t>(wstępnie założono ok. 20%</t>
    </r>
    <r>
      <rPr>
        <i/>
        <sz val="8"/>
        <color indexed="16"/>
        <rFont val="Times New Roman"/>
        <family val="1"/>
        <charset val="238"/>
      </rPr>
      <t xml:space="preserve"> odkrytej powierzchni)</t>
    </r>
  </si>
  <si>
    <t xml:space="preserve">odkucie luźnej, spękanej otuliny podpór, oczyszczenie betonu i zbrojenia wraz z zabezpieczeniem antykorozyjnym odkrtych prętów zbrojeniowych (wstępnie założono ok. 30% odkrytej powierzchni) </t>
  </si>
  <si>
    <t>0,3*95,3</t>
  </si>
  <si>
    <t>0,6*28,6</t>
  </si>
  <si>
    <t>0,6*92,1</t>
  </si>
  <si>
    <t>0,4*92,1</t>
  </si>
  <si>
    <t>0,4*28,6</t>
  </si>
  <si>
    <t>umocnienie skarp koryta rzeki oraz przestrzeni podmostowej materacami gabionowymi gr. 30cm na warstwie geowłókniny separacyjnej z wypełnieniem kamieniem łamanym</t>
  </si>
  <si>
    <t>umocnienie wylotu ścieku skarpowego materacami gabionowymi gr. 30cm na warstwie geowłókniny separacyjnej z wypełnieniem kamieniem łamanym</t>
  </si>
  <si>
    <t>M.16.01.02</t>
  </si>
  <si>
    <t>Kolektor odwodnieniowy</t>
  </si>
  <si>
    <t>wstępnie założona ilość protektorów cynkowych do zabezpieczenia powierzchni wskazancyh w dokumentacji projektowej, ostateczną ilośc Wykonawca zweryfikuje w porozmieniu z Inspektorem Nadzoru i Producentem protektorów, po wykonaniu czyszczenia betonu i odkuciu zdegradowanej otuliny.</t>
  </si>
  <si>
    <t>ewentualne dostosowanie istniejących włazów studzienek teletechnicznych do poziomu i spadków nowej nawierzchni chodnika</t>
  </si>
  <si>
    <t>Przebudowa linii telekomunikacyjnych przy przebudowie i budowie dróg</t>
  </si>
  <si>
    <t>zdjęcie izolacji gr. 1cm z płyty pomostu</t>
  </si>
  <si>
    <t>D.08.02.01</t>
  </si>
  <si>
    <r>
      <t xml:space="preserve">Chodnik z kostki betonowej                                                          </t>
    </r>
    <r>
      <rPr>
        <i/>
        <sz val="9"/>
        <rFont val="Times New Roman"/>
        <family val="1"/>
        <charset val="238"/>
      </rPr>
      <t xml:space="preserve">               </t>
    </r>
  </si>
  <si>
    <t>chodnik z kostki betonowej bezfazowej gr. 6cm na warstwie podsypki cementowo-piaskowej 1:4 gr. 3cm</t>
  </si>
  <si>
    <t>2,0*2,1+3,9*2,2+5,4*2,2+3,8*2,6</t>
  </si>
  <si>
    <t>1209+234</t>
  </si>
  <si>
    <t>Beton ustroju niosącego klasy min. C30/37 w deskowaniu</t>
  </si>
  <si>
    <t>beton klasy C35/45 kap chodnikowych</t>
  </si>
  <si>
    <t>beton klasy C35/45 kap pływających</t>
  </si>
  <si>
    <t>7,23*(7,0+7,3)</t>
  </si>
  <si>
    <t>frezowanie nawierzchni z betonu asfaltowego gr. do 4cm</t>
  </si>
  <si>
    <t>5,5*8,7+4,5*6,4</t>
  </si>
  <si>
    <t>9,8*4,5+6,4*7,0</t>
  </si>
  <si>
    <t>7,23*(7,0+7,5)</t>
  </si>
  <si>
    <t>kompleksowe przełożenie sieci teletechnicznych przebiegających w istniejących kapach chodnikowych, podlegajacych rozbiórce, według projektu branżowego oraz według wydanych warunków technicznych przez Operatora tych sieci, w razie konieczności zaktualizowanie warunków technicznych wydanych przez Operatora oraz w razie potrzeby zaktualizowanie uzgodnienia wydanego przez Operatora sieci dla projektu  branży teletechnicznej</t>
  </si>
  <si>
    <t>podbudowa pomocnicza CBGM 0/31,5 C3/4, gr. 20cm, w cenie jednostkowej uwzględnić pogrubienie w obrębie płyt przejściowych</t>
  </si>
  <si>
    <t>7,8+7,6+2,8+3,0</t>
  </si>
  <si>
    <t>1,0*(6,40+7,80)</t>
  </si>
  <si>
    <t>21,6*7,0+8,50*6,4+11,9*7,5</t>
  </si>
  <si>
    <t>15,5*6,4+21,6*7,0+16,4*8,2</t>
  </si>
  <si>
    <t>18,3*7,0</t>
  </si>
  <si>
    <t>4,5*6,4+7,23*7,0+7,23*7,3 +5,5*8,5</t>
  </si>
  <si>
    <t>wprowadzenie, utrzymanie i demontaż tymczasowej organizacji ruchu w systemie wahadłowym według zatwierdzonego projektu, w cenie jednostkowej Wykonawca uwzględni ewentualną koneiczność zaktualizowania i ponownego zatwierdzenia COR z organem zarządzajacycm ruchem, w przypadku koneiczności dostosowania robót tymczasowych do przyjętej technologii wykonania. W ramach ceny jednostkowej za wdrożenie i utrzymanie tymczasowej organizacji ruchu, Wykonawca ma obowiązek zapewnić i zabezpieczyć na ustroju nośnym remontowanego mostu, ruch rowerowy i pieszy, podczas całego okresu trwania prac remontowych.</t>
  </si>
  <si>
    <t>4*0,5+2*3,0</t>
  </si>
  <si>
    <t>2*0,15*1,2*1,2+2*0,15*1,0*1,0</t>
  </si>
  <si>
    <t>sączki pionowe z HDPE z podłączeniem do kolektora</t>
  </si>
  <si>
    <t>kolektor z rur HDPE Ø50 wraz z elementami łączącymi i zawiesiami</t>
  </si>
  <si>
    <t>9,5+8,4+8,2+10,0</t>
  </si>
  <si>
    <t>2*4</t>
  </si>
  <si>
    <t xml:space="preserve">dylatacje bitumiczne 400x95mm </t>
  </si>
  <si>
    <t>1,1*(4,0+11,5+4,2)+1,1*(4,0+11,7+8,7)+16,3*5,1+14,4*2,3 +0,5*5,3*2,5</t>
  </si>
  <si>
    <t xml:space="preserve">UWAGA 2: Koszt opracowania, uzgodnienia, a następnie realizacji poszczególnych projektów technologicznych i 
warsztatowych, wymaganych przez projekt remontu, a niewymienionych bezpośrednio w przedmiarze robót, Wykonawca 
wliczy w cenę jednostkową dla zaprojektowanych poszczególnych robót remontowych. </t>
  </si>
  <si>
    <t>UWAGA 1: Jeżeli założona metoda przedmiaru (wskazane wymiary) będzie się nieznacznie różnić od wymiarów wynikających z dokumentacji projektowej oraz stanu rzeczywistego wystepującego w terenie, nadrzędną bazą do określania ilości w ramach rozliczeń/odbioru/przygotowania oferty, stanowi dokumentacja projektowa oraz wizja w terenie. W projekcie i przedmiarze podano orientacyjną powierzchnię betonową wymagającą specjalistycznego zabezpieczenia zaprawami PCC oraz orientacyjną ilość niezbędnych do zastosowania protektoró cynkowych. Ostateczna powierzchnia wymagająca zabezpieczenia zaprawami PCC oraz ostateczna ilość niezbednych do zastosowania protektorów cynkowych ustali Wykonawca w porozumieniu z Inspektorem Nadzoru oraz wybranym producentem protektorów, po dokłądnym oczyszczeniu istniejacych powierzchni betonowych i odkuciu zdegradowanej otuliny.</t>
  </si>
  <si>
    <t>montaż barieroporęczy na moście, o parametrach H2/min. W5/A/VI1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</si>
</sst>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43">
    <font>
      <sz val="11"/>
      <color theme="1"/>
      <name val="Czcionka tekstu podstawowego"/>
      <family val="2"/>
      <charset val="238"/>
    </font>
    <font>
      <sz val="11"/>
      <name val="Czcionka tekstu podstawowego"/>
      <family val="2"/>
      <charset val="238"/>
    </font>
    <font>
      <b/>
      <sz val="11"/>
      <name val="Times New Roman"/>
      <family val="1"/>
      <charset val="238"/>
    </font>
    <font>
      <sz val="11"/>
      <name val="Times New Roman"/>
      <family val="1"/>
      <charset val="238"/>
    </font>
    <font>
      <sz val="10"/>
      <name val="PL Times New Roman"/>
    </font>
    <font>
      <b/>
      <sz val="12"/>
      <name val="Times New Roman"/>
      <family val="1"/>
      <charset val="238"/>
    </font>
    <font>
      <b/>
      <sz val="10"/>
      <name val="Times New Roman"/>
      <family val="1"/>
      <charset val="238"/>
    </font>
    <font>
      <sz val="10"/>
      <name val="Pl Courier New"/>
    </font>
    <font>
      <sz val="11"/>
      <color indexed="8"/>
      <name val="Czcionka tekstu podstawowego"/>
      <family val="2"/>
      <charset val="238"/>
    </font>
    <font>
      <sz val="11"/>
      <color indexed="8"/>
      <name val="Times New Roman"/>
      <family val="1"/>
      <charset val="238"/>
    </font>
    <font>
      <i/>
      <sz val="8"/>
      <color indexed="16"/>
      <name val="Times New Roman"/>
      <family val="1"/>
      <charset val="238"/>
    </font>
    <font>
      <i/>
      <sz val="9"/>
      <name val="Times New Roman"/>
      <family val="1"/>
      <charset val="238"/>
    </font>
    <font>
      <sz val="12"/>
      <color indexed="8"/>
      <name val="Times New Roman"/>
      <family val="1"/>
      <charset val="238"/>
    </font>
    <font>
      <b/>
      <sz val="12"/>
      <color indexed="8"/>
      <name val="Times New Roman"/>
      <family val="1"/>
      <charset val="238"/>
    </font>
    <font>
      <sz val="8"/>
      <color indexed="16"/>
      <name val="Czcionka tekstu podstawowego"/>
      <charset val="238"/>
    </font>
    <font>
      <sz val="11"/>
      <color theme="1"/>
      <name val="Czcionka tekstu podstawowego"/>
      <family val="2"/>
      <charset val="238"/>
    </font>
    <font>
      <sz val="11"/>
      <color theme="0"/>
      <name val="Czcionka tekstu podstawowego"/>
      <family val="2"/>
      <charset val="238"/>
    </font>
    <font>
      <sz val="11"/>
      <color rgb="FF3F3F76"/>
      <name val="Czcionka tekstu podstawowego"/>
      <family val="2"/>
      <charset val="238"/>
    </font>
    <font>
      <b/>
      <sz val="11"/>
      <color rgb="FF3F3F3F"/>
      <name val="Czcionka tekstu podstawowego"/>
      <family val="2"/>
      <charset val="238"/>
    </font>
    <font>
      <sz val="11"/>
      <color rgb="FF006100"/>
      <name val="Czcionka tekstu podstawowego"/>
      <family val="2"/>
      <charset val="238"/>
    </font>
    <font>
      <sz val="11"/>
      <color rgb="FFFA7D00"/>
      <name val="Czcionka tekstu podstawowego"/>
      <family val="2"/>
      <charset val="238"/>
    </font>
    <font>
      <b/>
      <sz val="11"/>
      <color theme="0"/>
      <name val="Czcionka tekstu podstawowego"/>
      <family val="2"/>
      <charset val="238"/>
    </font>
    <font>
      <b/>
      <sz val="15"/>
      <color theme="3"/>
      <name val="Czcionka tekstu podstawowego"/>
      <family val="2"/>
      <charset val="238"/>
    </font>
    <font>
      <b/>
      <sz val="13"/>
      <color theme="3"/>
      <name val="Czcionka tekstu podstawowego"/>
      <family val="2"/>
      <charset val="238"/>
    </font>
    <font>
      <b/>
      <sz val="11"/>
      <color theme="3"/>
      <name val="Czcionka tekstu podstawowego"/>
      <family val="2"/>
      <charset val="238"/>
    </font>
    <font>
      <sz val="11"/>
      <color rgb="FF9C6500"/>
      <name val="Czcionka tekstu podstawowego"/>
      <family val="2"/>
      <charset val="238"/>
    </font>
    <font>
      <b/>
      <sz val="11"/>
      <color rgb="FFFA7D00"/>
      <name val="Czcionka tekstu podstawowego"/>
      <family val="2"/>
      <charset val="238"/>
    </font>
    <font>
      <b/>
      <sz val="11"/>
      <color theme="1"/>
      <name val="Czcionka tekstu podstawowego"/>
      <family val="2"/>
      <charset val="238"/>
    </font>
    <font>
      <i/>
      <sz val="11"/>
      <color rgb="FF7F7F7F"/>
      <name val="Czcionka tekstu podstawowego"/>
      <family val="2"/>
      <charset val="238"/>
    </font>
    <font>
      <sz val="11"/>
      <color rgb="FFFF0000"/>
      <name val="Czcionka tekstu podstawowego"/>
      <family val="2"/>
      <charset val="238"/>
    </font>
    <font>
      <b/>
      <sz val="18"/>
      <color theme="3"/>
      <name val="Cambria"/>
      <family val="2"/>
      <charset val="238"/>
      <scheme val="major"/>
    </font>
    <font>
      <sz val="11"/>
      <color rgb="FF9C0006"/>
      <name val="Czcionka tekstu podstawowego"/>
      <family val="2"/>
      <charset val="238"/>
    </font>
    <font>
      <sz val="11"/>
      <color theme="1"/>
      <name val="Times New Roman"/>
      <family val="1"/>
      <charset val="238"/>
    </font>
    <font>
      <sz val="8"/>
      <color indexed="8"/>
      <name val="Times New Roman"/>
      <family val="1"/>
      <charset val="238"/>
    </font>
    <font>
      <b/>
      <sz val="8"/>
      <name val="Times New Roman"/>
      <family val="1"/>
      <charset val="238"/>
    </font>
    <font>
      <sz val="8"/>
      <name val="Times New Roman"/>
      <family val="1"/>
      <charset val="238"/>
    </font>
    <font>
      <b/>
      <sz val="11"/>
      <color indexed="8"/>
      <name val="Times New Roman"/>
      <family val="1"/>
      <charset val="238"/>
    </font>
    <font>
      <sz val="8"/>
      <color theme="1"/>
      <name val="Czcionka tekstu podstawowego"/>
      <family val="2"/>
      <charset val="238"/>
    </font>
    <font>
      <sz val="8"/>
      <color rgb="FFFF0000"/>
      <name val="Times New Roman"/>
      <family val="1"/>
      <charset val="238"/>
    </font>
    <font>
      <sz val="11"/>
      <color rgb="FFFF0000"/>
      <name val="Times New Roman"/>
      <family val="1"/>
      <charset val="238"/>
    </font>
    <font>
      <b/>
      <sz val="11"/>
      <color theme="1"/>
      <name val="Czcionka tekstu podstawowego"/>
      <charset val="238"/>
    </font>
    <font>
      <i/>
      <sz val="8"/>
      <color theme="5" tint="-0.249977111117893"/>
      <name val="Times New Roman"/>
      <family val="1"/>
      <charset val="238"/>
    </font>
    <font>
      <sz val="10"/>
      <color theme="1"/>
      <name val="Czcionka tekstu podstawowego"/>
      <family val="2"/>
      <charset val="238"/>
    </font>
  </fonts>
  <fills count="38">
    <fill>
      <patternFill patternType="none"/>
    </fill>
    <fill>
      <patternFill patternType="gray125"/>
    </fill>
    <fill>
      <patternFill patternType="solid">
        <fgColor indexed="13"/>
        <bgColor indexed="64"/>
      </patternFill>
    </fill>
    <fill>
      <patternFill patternType="solid">
        <fgColor indexed="13"/>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C6EFCE"/>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60">
    <border>
      <left/>
      <right/>
      <top/>
      <bottom/>
      <diagonal/>
    </border>
    <border>
      <left style="thin">
        <color indexed="64"/>
      </left>
      <right style="thin">
        <color indexed="64"/>
      </right>
      <top style="dashed">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indexed="8"/>
      </left>
      <right style="thin">
        <color indexed="8"/>
      </right>
      <top/>
      <bottom/>
      <diagonal/>
    </border>
    <border>
      <left style="thin">
        <color indexed="8"/>
      </left>
      <right/>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auto="1"/>
      </right>
      <top/>
      <bottom style="medium">
        <color indexed="64"/>
      </bottom>
      <diagonal/>
    </border>
    <border>
      <left/>
      <right style="medium">
        <color auto="1"/>
      </right>
      <top/>
      <bottom style="thin">
        <color indexed="64"/>
      </bottom>
      <diagonal/>
    </border>
    <border>
      <left/>
      <right style="medium">
        <color indexed="64"/>
      </right>
      <top style="thin">
        <color indexed="64"/>
      </top>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44">
    <xf numFmtId="0" fontId="0" fillId="0" borderId="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7" fillId="28" borderId="16" applyNumberFormat="0" applyAlignment="0" applyProtection="0"/>
    <xf numFmtId="0" fontId="18" fillId="29" borderId="17" applyNumberFormat="0" applyAlignment="0" applyProtection="0"/>
    <xf numFmtId="0" fontId="19" fillId="30" borderId="0" applyNumberFormat="0" applyBorder="0" applyAlignment="0" applyProtection="0"/>
    <xf numFmtId="0" fontId="20" fillId="0" borderId="18" applyNumberFormat="0" applyFill="0" applyAlignment="0" applyProtection="0"/>
    <xf numFmtId="0" fontId="21" fillId="31" borderId="19" applyNumberFormat="0" applyAlignment="0" applyProtection="0"/>
    <xf numFmtId="0" fontId="22" fillId="0" borderId="20" applyNumberFormat="0" applyFill="0" applyAlignment="0" applyProtection="0"/>
    <xf numFmtId="0" fontId="23" fillId="0" borderId="21" applyNumberFormat="0" applyFill="0" applyAlignment="0" applyProtection="0"/>
    <xf numFmtId="0" fontId="24" fillId="0" borderId="22" applyNumberFormat="0" applyFill="0" applyAlignment="0" applyProtection="0"/>
    <xf numFmtId="0" fontId="24" fillId="0" borderId="0" applyNumberFormat="0" applyFill="0" applyBorder="0" applyAlignment="0" applyProtection="0"/>
    <xf numFmtId="0" fontId="25" fillId="32" borderId="0" applyNumberFormat="0" applyBorder="0" applyAlignment="0" applyProtection="0"/>
    <xf numFmtId="0" fontId="4" fillId="0" borderId="0" applyNumberFormat="0" applyFill="0" applyBorder="0" applyAlignment="0" applyProtection="0"/>
    <xf numFmtId="0" fontId="26" fillId="29" borderId="16" applyNumberFormat="0" applyAlignment="0" applyProtection="0"/>
    <xf numFmtId="0" fontId="7" fillId="0" borderId="1" applyNumberFormat="0" applyFont="0" applyFill="0" applyBorder="0" applyProtection="0">
      <alignment vertical="top" wrapText="1"/>
    </xf>
    <xf numFmtId="0" fontId="27" fillId="0" borderId="23" applyNumberFormat="0" applyFill="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8" fillId="33" borderId="24" applyNumberFormat="0" applyFont="0" applyAlignment="0" applyProtection="0"/>
    <xf numFmtId="0" fontId="31" fillId="34" borderId="0" applyNumberFormat="0" applyBorder="0" applyAlignment="0" applyProtection="0"/>
  </cellStyleXfs>
  <cellXfs count="283">
    <xf numFmtId="0" fontId="0" fillId="0" borderId="0" xfId="0"/>
    <xf numFmtId="0" fontId="9" fillId="0" borderId="0" xfId="0" applyFont="1"/>
    <xf numFmtId="0" fontId="1" fillId="0" borderId="0" xfId="0" applyFont="1" applyAlignment="1">
      <alignment horizontal="center"/>
    </xf>
    <xf numFmtId="0" fontId="6" fillId="2" borderId="5" xfId="35" applyFont="1" applyFill="1" applyBorder="1" applyAlignment="1">
      <alignment horizontal="center" vertical="center" wrapText="1"/>
    </xf>
    <xf numFmtId="0" fontId="9" fillId="0" borderId="0" xfId="0" applyFont="1" applyAlignment="1">
      <alignment horizontal="center"/>
    </xf>
    <xf numFmtId="0" fontId="3" fillId="0" borderId="0" xfId="0" applyFont="1" applyAlignment="1">
      <alignment horizontal="center"/>
    </xf>
    <xf numFmtId="0" fontId="9" fillId="0" borderId="0" xfId="0" applyFont="1" applyBorder="1"/>
    <xf numFmtId="0" fontId="2" fillId="2" borderId="5" xfId="35" applyFont="1" applyFill="1" applyBorder="1" applyAlignment="1">
      <alignment horizontal="left" vertical="center" wrapText="1"/>
    </xf>
    <xf numFmtId="0" fontId="2" fillId="2" borderId="10" xfId="35" applyFont="1" applyFill="1" applyBorder="1" applyAlignment="1">
      <alignment horizontal="left" vertical="center" wrapText="1"/>
    </xf>
    <xf numFmtId="0" fontId="6" fillId="0" borderId="7" xfId="35" applyFont="1" applyFill="1" applyBorder="1" applyAlignment="1">
      <alignment horizontal="center" vertical="center" wrapText="1"/>
    </xf>
    <xf numFmtId="0" fontId="6" fillId="0" borderId="6" xfId="35" applyFont="1" applyFill="1" applyBorder="1" applyAlignment="1">
      <alignment horizontal="center" vertical="center" wrapText="1"/>
    </xf>
    <xf numFmtId="0" fontId="3" fillId="0" borderId="0" xfId="0" applyFont="1" applyAlignment="1">
      <alignment horizontal="left" vertical="center" wrapText="1"/>
    </xf>
    <xf numFmtId="0" fontId="1" fillId="0" borderId="0" xfId="0" applyFont="1" applyAlignment="1">
      <alignment horizontal="left" vertical="center" wrapText="1"/>
    </xf>
    <xf numFmtId="0" fontId="9" fillId="2" borderId="4" xfId="0" applyFont="1" applyFill="1" applyBorder="1" applyAlignment="1">
      <alignment horizontal="center" vertical="center" wrapText="1"/>
    </xf>
    <xf numFmtId="0" fontId="3" fillId="0" borderId="6" xfId="0" applyFont="1" applyFill="1" applyBorder="1" applyAlignment="1">
      <alignment horizontal="left" vertical="top" wrapText="1"/>
    </xf>
    <xf numFmtId="0" fontId="6" fillId="0" borderId="0" xfId="35" applyFont="1" applyFill="1" applyBorder="1" applyAlignment="1">
      <alignment horizontal="center" vertical="center" wrapText="1"/>
    </xf>
    <xf numFmtId="1" fontId="9" fillId="0" borderId="7" xfId="0" applyNumberFormat="1" applyFont="1" applyFill="1" applyBorder="1" applyAlignment="1">
      <alignment horizontal="center" vertical="center"/>
    </xf>
    <xf numFmtId="0" fontId="3" fillId="0" borderId="4" xfId="0" applyFont="1" applyFill="1" applyBorder="1" applyAlignment="1">
      <alignment horizontal="center"/>
    </xf>
    <xf numFmtId="2" fontId="1" fillId="0" borderId="0" xfId="0" applyNumberFormat="1" applyFont="1" applyFill="1" applyBorder="1" applyAlignment="1">
      <alignment horizontal="center" vertical="center"/>
    </xf>
    <xf numFmtId="0" fontId="3" fillId="0" borderId="9" xfId="0" applyFont="1" applyFill="1" applyBorder="1" applyAlignment="1">
      <alignment horizontal="center"/>
    </xf>
    <xf numFmtId="0" fontId="6" fillId="2" borderId="10" xfId="35" applyFont="1" applyFill="1" applyBorder="1" applyAlignment="1">
      <alignment horizontal="center" vertical="center" wrapText="1"/>
    </xf>
    <xf numFmtId="0" fontId="3" fillId="0" borderId="25" xfId="0" applyFont="1" applyFill="1" applyBorder="1" applyAlignment="1">
      <alignment horizontal="center" vertical="center"/>
    </xf>
    <xf numFmtId="0" fontId="3" fillId="0" borderId="26" xfId="0" applyFont="1" applyFill="1" applyBorder="1" applyAlignment="1">
      <alignment horizontal="left" vertical="center" wrapText="1"/>
    </xf>
    <xf numFmtId="0" fontId="9" fillId="0" borderId="13" xfId="0" applyFont="1" applyBorder="1"/>
    <xf numFmtId="0" fontId="3" fillId="3" borderId="12" xfId="35" applyFont="1" applyFill="1" applyBorder="1" applyAlignment="1">
      <alignment horizontal="center" vertical="center" wrapText="1"/>
    </xf>
    <xf numFmtId="0" fontId="3" fillId="3" borderId="12" xfId="35" applyFont="1" applyFill="1" applyBorder="1" applyAlignment="1">
      <alignment horizontal="center" vertical="center"/>
    </xf>
    <xf numFmtId="0" fontId="3" fillId="0" borderId="10" xfId="35" applyFont="1" applyBorder="1" applyAlignment="1">
      <alignment horizontal="center" vertical="center"/>
    </xf>
    <xf numFmtId="0" fontId="9" fillId="0" borderId="27" xfId="0" applyFont="1" applyBorder="1"/>
    <xf numFmtId="0" fontId="9" fillId="0" borderId="9" xfId="0" applyFont="1" applyBorder="1"/>
    <xf numFmtId="0" fontId="9" fillId="0" borderId="10" xfId="0" applyFont="1" applyBorder="1"/>
    <xf numFmtId="0" fontId="6" fillId="2" borderId="15" xfId="35" applyFont="1" applyFill="1" applyBorder="1" applyAlignment="1">
      <alignment horizontal="center" vertical="center" wrapText="1"/>
    </xf>
    <xf numFmtId="1" fontId="9" fillId="0" borderId="13" xfId="0" applyNumberFormat="1" applyFont="1" applyBorder="1" applyAlignment="1">
      <alignment horizontal="center" vertical="center"/>
    </xf>
    <xf numFmtId="0" fontId="9" fillId="0" borderId="15" xfId="0" applyFont="1" applyBorder="1"/>
    <xf numFmtId="0" fontId="6" fillId="2" borderId="30" xfId="35" applyFont="1" applyFill="1" applyBorder="1" applyAlignment="1">
      <alignment horizontal="center" vertical="center" wrapText="1"/>
    </xf>
    <xf numFmtId="0" fontId="3" fillId="0" borderId="35" xfId="35" applyFont="1" applyBorder="1" applyAlignment="1">
      <alignment horizontal="center" vertical="center"/>
    </xf>
    <xf numFmtId="0" fontId="3" fillId="0" borderId="36" xfId="35" applyFont="1" applyBorder="1" applyAlignment="1">
      <alignment horizontal="center" vertical="center"/>
    </xf>
    <xf numFmtId="0" fontId="3" fillId="0" borderId="37" xfId="35" applyFont="1" applyBorder="1" applyAlignment="1">
      <alignment horizontal="center" vertical="center"/>
    </xf>
    <xf numFmtId="3" fontId="3" fillId="0" borderId="38" xfId="35" applyNumberFormat="1" applyFont="1" applyBorder="1" applyAlignment="1">
      <alignment horizontal="center" vertical="center"/>
    </xf>
    <xf numFmtId="0" fontId="6" fillId="2" borderId="39" xfId="35" applyFont="1" applyFill="1" applyBorder="1" applyAlignment="1">
      <alignment horizontal="center" vertical="center" wrapText="1"/>
    </xf>
    <xf numFmtId="0" fontId="2" fillId="2" borderId="29" xfId="35" applyFont="1" applyFill="1" applyBorder="1" applyAlignment="1">
      <alignment horizontal="left" vertical="center" wrapText="1"/>
    </xf>
    <xf numFmtId="0" fontId="6" fillId="2" borderId="29" xfId="35" applyFont="1" applyFill="1" applyBorder="1" applyAlignment="1">
      <alignment horizontal="center" vertical="center" wrapText="1"/>
    </xf>
    <xf numFmtId="0" fontId="6" fillId="2" borderId="40" xfId="35" applyFont="1" applyFill="1" applyBorder="1" applyAlignment="1">
      <alignment horizontal="center" vertical="center" wrapText="1"/>
    </xf>
    <xf numFmtId="164" fontId="6" fillId="2" borderId="41" xfId="35" applyNumberFormat="1" applyFont="1" applyFill="1" applyBorder="1" applyAlignment="1">
      <alignment horizontal="center" vertical="center" wrapText="1"/>
    </xf>
    <xf numFmtId="0" fontId="0" fillId="0" borderId="0" xfId="0" applyAlignment="1">
      <alignment horizontal="center"/>
    </xf>
    <xf numFmtId="164" fontId="6" fillId="2" borderId="45" xfId="35" applyNumberFormat="1" applyFont="1" applyFill="1" applyBorder="1" applyAlignment="1">
      <alignment horizontal="center" vertical="center" wrapText="1"/>
    </xf>
    <xf numFmtId="164" fontId="6" fillId="0" borderId="43" xfId="35" applyNumberFormat="1" applyFont="1" applyFill="1" applyBorder="1" applyAlignment="1">
      <alignment horizontal="center" vertical="center" wrapText="1"/>
    </xf>
    <xf numFmtId="0" fontId="9" fillId="2" borderId="45" xfId="0" applyFont="1" applyFill="1" applyBorder="1" applyAlignment="1">
      <alignment horizontal="center" vertical="center"/>
    </xf>
    <xf numFmtId="0" fontId="2" fillId="35" borderId="39" xfId="35" applyFont="1" applyFill="1" applyBorder="1" applyAlignment="1">
      <alignment horizontal="center" vertical="center" wrapText="1"/>
    </xf>
    <xf numFmtId="0" fontId="34" fillId="2" borderId="5" xfId="35" applyFont="1" applyFill="1" applyBorder="1" applyAlignment="1">
      <alignment horizontal="center" vertical="center" wrapText="1"/>
    </xf>
    <xf numFmtId="0" fontId="34" fillId="0" borderId="6" xfId="35" applyFont="1" applyFill="1" applyBorder="1" applyAlignment="1">
      <alignment horizontal="center" vertical="center" wrapText="1"/>
    </xf>
    <xf numFmtId="0" fontId="33" fillId="2" borderId="4" xfId="0" applyFont="1" applyFill="1" applyBorder="1" applyAlignment="1">
      <alignment horizontal="center" vertical="center" wrapText="1"/>
    </xf>
    <xf numFmtId="0" fontId="34" fillId="2" borderId="4" xfId="35" applyFont="1" applyFill="1" applyBorder="1" applyAlignment="1">
      <alignment horizontal="center" vertical="center" wrapText="1"/>
    </xf>
    <xf numFmtId="0" fontId="9" fillId="0" borderId="0" xfId="0" applyFont="1" applyFill="1" applyBorder="1"/>
    <xf numFmtId="0" fontId="0" fillId="0" borderId="0" xfId="0" applyFill="1"/>
    <xf numFmtId="165" fontId="3" fillId="0" borderId="3" xfId="0" applyNumberFormat="1" applyFont="1" applyFill="1" applyBorder="1" applyAlignment="1">
      <alignment horizontal="center" vertical="center" wrapText="1"/>
    </xf>
    <xf numFmtId="0" fontId="9" fillId="36" borderId="0" xfId="0" applyFont="1" applyFill="1" applyBorder="1"/>
    <xf numFmtId="165" fontId="9" fillId="0" borderId="0" xfId="0" applyNumberFormat="1" applyFont="1" applyBorder="1" applyAlignment="1">
      <alignment horizontal="center" vertical="center"/>
    </xf>
    <xf numFmtId="0" fontId="3" fillId="0" borderId="0" xfId="0" applyFont="1" applyBorder="1" applyAlignment="1">
      <alignment horizontal="left" vertical="center" wrapText="1"/>
    </xf>
    <xf numFmtId="0" fontId="6" fillId="2" borderId="4" xfId="35" applyFont="1" applyFill="1" applyBorder="1" applyAlignment="1">
      <alignment horizontal="center" vertical="center" wrapText="1"/>
    </xf>
    <xf numFmtId="0" fontId="2" fillId="35" borderId="4" xfId="35" applyFont="1" applyFill="1" applyBorder="1" applyAlignment="1">
      <alignment horizontal="center" vertical="center" wrapText="1"/>
    </xf>
    <xf numFmtId="0" fontId="2" fillId="35" borderId="5" xfId="35" applyFont="1" applyFill="1" applyBorder="1" applyAlignment="1">
      <alignment horizontal="left" vertical="center" wrapText="1"/>
    </xf>
    <xf numFmtId="0" fontId="6" fillId="35" borderId="5" xfId="35" applyFont="1" applyFill="1" applyBorder="1" applyAlignment="1">
      <alignment horizontal="center" vertical="center" wrapText="1"/>
    </xf>
    <xf numFmtId="165" fontId="3" fillId="0" borderId="44" xfId="0" applyNumberFormat="1" applyFont="1" applyFill="1" applyBorder="1" applyAlignment="1">
      <alignment horizontal="center" vertical="center"/>
    </xf>
    <xf numFmtId="0" fontId="9" fillId="0" borderId="33" xfId="0" applyFont="1" applyFill="1" applyBorder="1" applyAlignment="1">
      <alignment horizontal="center" vertical="center"/>
    </xf>
    <xf numFmtId="1" fontId="9" fillId="0" borderId="33" xfId="0" applyNumberFormat="1" applyFont="1" applyFill="1" applyBorder="1" applyAlignment="1">
      <alignment horizontal="center" vertical="center"/>
    </xf>
    <xf numFmtId="1" fontId="9" fillId="0" borderId="44" xfId="0" applyNumberFormat="1" applyFont="1" applyFill="1" applyBorder="1" applyAlignment="1">
      <alignment horizontal="center" vertical="center"/>
    </xf>
    <xf numFmtId="1" fontId="9" fillId="0" borderId="43" xfId="0" applyNumberFormat="1" applyFont="1" applyFill="1" applyBorder="1" applyAlignment="1">
      <alignment horizontal="center" vertical="center"/>
    </xf>
    <xf numFmtId="0" fontId="3" fillId="0" borderId="3" xfId="0" applyFont="1" applyFill="1" applyBorder="1" applyAlignment="1">
      <alignment horizontal="center" vertical="top"/>
    </xf>
    <xf numFmtId="0" fontId="3" fillId="0" borderId="9" xfId="0" applyFont="1" applyFill="1" applyBorder="1" applyAlignment="1">
      <alignment horizontal="left" vertical="center" wrapText="1"/>
    </xf>
    <xf numFmtId="165" fontId="9" fillId="0" borderId="44" xfId="0" applyNumberFormat="1" applyFont="1" applyFill="1" applyBorder="1" applyAlignment="1">
      <alignment horizontal="center" vertical="center" wrapText="1"/>
    </xf>
    <xf numFmtId="165" fontId="9" fillId="0" borderId="43" xfId="0" applyNumberFormat="1" applyFont="1" applyFill="1" applyBorder="1" applyAlignment="1">
      <alignment horizontal="center" vertical="center" wrapText="1"/>
    </xf>
    <xf numFmtId="166" fontId="9" fillId="0" borderId="44" xfId="0" applyNumberFormat="1" applyFont="1" applyFill="1" applyBorder="1" applyAlignment="1">
      <alignment horizontal="center" vertical="center"/>
    </xf>
    <xf numFmtId="0" fontId="33" fillId="0" borderId="8"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0" fillId="0" borderId="0" xfId="0"/>
    <xf numFmtId="0" fontId="33" fillId="0" borderId="7" xfId="0" applyFont="1" applyFill="1" applyBorder="1" applyAlignment="1">
      <alignment horizontal="center" vertical="center" wrapText="1"/>
    </xf>
    <xf numFmtId="0" fontId="0" fillId="37" borderId="0" xfId="0" applyFill="1"/>
    <xf numFmtId="0" fontId="3" fillId="0" borderId="9" xfId="35" applyFont="1" applyBorder="1" applyAlignment="1">
      <alignment horizontal="center" vertical="center"/>
    </xf>
    <xf numFmtId="0" fontId="34" fillId="0" borderId="7" xfId="35" applyFont="1" applyFill="1" applyBorder="1" applyAlignment="1">
      <alignment horizontal="center" vertical="center" wrapText="1"/>
    </xf>
    <xf numFmtId="165" fontId="33" fillId="0" borderId="7" xfId="0" applyNumberFormat="1" applyFont="1" applyFill="1" applyBorder="1" applyAlignment="1">
      <alignment horizontal="center" vertical="center" wrapText="1"/>
    </xf>
    <xf numFmtId="165" fontId="9" fillId="0" borderId="43" xfId="0" applyNumberFormat="1" applyFont="1" applyFill="1" applyBorder="1" applyAlignment="1">
      <alignment horizontal="center" vertical="center"/>
    </xf>
    <xf numFmtId="1" fontId="33" fillId="0" borderId="7" xfId="0" applyNumberFormat="1" applyFont="1" applyFill="1" applyBorder="1" applyAlignment="1">
      <alignment horizontal="center" vertical="center" wrapText="1"/>
    </xf>
    <xf numFmtId="165" fontId="35" fillId="0" borderId="3" xfId="0" applyNumberFormat="1" applyFont="1" applyFill="1" applyBorder="1" applyAlignment="1">
      <alignment horizontal="center" vertical="center" wrapText="1"/>
    </xf>
    <xf numFmtId="0" fontId="3" fillId="0" borderId="12" xfId="35" applyFont="1" applyBorder="1" applyAlignment="1">
      <alignment horizontal="center" vertical="center"/>
    </xf>
    <xf numFmtId="2" fontId="1" fillId="0" borderId="12" xfId="0" applyNumberFormat="1" applyFont="1" applyFill="1" applyBorder="1" applyAlignment="1">
      <alignment horizontal="center" vertical="center"/>
    </xf>
    <xf numFmtId="0" fontId="10" fillId="0" borderId="14" xfId="35" applyFont="1" applyFill="1" applyBorder="1" applyAlignment="1">
      <alignment horizontal="left" vertical="center" wrapText="1"/>
    </xf>
    <xf numFmtId="0" fontId="6" fillId="2" borderId="48" xfId="35" applyFont="1" applyFill="1" applyBorder="1" applyAlignment="1">
      <alignment horizontal="center" vertical="center" wrapText="1"/>
    </xf>
    <xf numFmtId="0" fontId="3" fillId="0" borderId="12" xfId="0" applyFont="1" applyFill="1" applyBorder="1" applyAlignment="1">
      <alignment horizontal="center" vertical="center"/>
    </xf>
    <xf numFmtId="0" fontId="9" fillId="0" borderId="49" xfId="0" applyFont="1" applyBorder="1"/>
    <xf numFmtId="0" fontId="3" fillId="2" borderId="48" xfId="0" applyFont="1" applyFill="1" applyBorder="1" applyAlignment="1">
      <alignment horizontal="center" vertical="center"/>
    </xf>
    <xf numFmtId="0" fontId="3" fillId="3" borderId="53" xfId="35" applyFont="1" applyFill="1" applyBorder="1" applyAlignment="1">
      <alignment horizontal="center" vertical="center"/>
    </xf>
    <xf numFmtId="0" fontId="3" fillId="3" borderId="32" xfId="35" applyFont="1" applyFill="1" applyBorder="1" applyAlignment="1">
      <alignment horizontal="center" vertical="center"/>
    </xf>
    <xf numFmtId="0" fontId="3" fillId="3" borderId="34" xfId="35" applyFont="1" applyFill="1" applyBorder="1" applyAlignment="1">
      <alignment horizontal="center" vertical="center"/>
    </xf>
    <xf numFmtId="0" fontId="3" fillId="0" borderId="52" xfId="35" applyFont="1" applyBorder="1" applyAlignment="1">
      <alignment horizontal="center" vertical="center"/>
    </xf>
    <xf numFmtId="0" fontId="6" fillId="2" borderId="51" xfId="35" applyFont="1" applyFill="1" applyBorder="1" applyAlignment="1">
      <alignment horizontal="center" vertical="top" wrapText="1"/>
    </xf>
    <xf numFmtId="0" fontId="6" fillId="2" borderId="48" xfId="35" applyFont="1" applyFill="1" applyBorder="1" applyAlignment="1">
      <alignment horizontal="center" vertical="top" wrapText="1"/>
    </xf>
    <xf numFmtId="0" fontId="6" fillId="0" borderId="42" xfId="35" applyFont="1" applyFill="1" applyBorder="1" applyAlignment="1">
      <alignment horizontal="center" vertical="top" wrapText="1"/>
    </xf>
    <xf numFmtId="0" fontId="6" fillId="0" borderId="42" xfId="35" applyFont="1" applyFill="1" applyBorder="1" applyAlignment="1">
      <alignment horizontal="center" vertical="center" wrapText="1"/>
    </xf>
    <xf numFmtId="0" fontId="2" fillId="35" borderId="10" xfId="35" applyFont="1" applyFill="1" applyBorder="1" applyAlignment="1">
      <alignment horizontal="left" vertical="center" wrapText="1"/>
    </xf>
    <xf numFmtId="0" fontId="9" fillId="0" borderId="11" xfId="0" applyFont="1" applyFill="1" applyBorder="1" applyAlignment="1">
      <alignment horizontal="center" vertical="center" wrapText="1"/>
    </xf>
    <xf numFmtId="164" fontId="6" fillId="2" borderId="10" xfId="35" applyNumberFormat="1" applyFont="1" applyFill="1" applyBorder="1" applyAlignment="1">
      <alignment horizontal="center" vertical="center" wrapText="1"/>
    </xf>
    <xf numFmtId="0" fontId="9" fillId="0" borderId="43" xfId="0" applyFont="1" applyFill="1" applyBorder="1"/>
    <xf numFmtId="0" fontId="9" fillId="0" borderId="50" xfId="0" applyFont="1" applyFill="1" applyBorder="1"/>
    <xf numFmtId="165" fontId="9" fillId="0" borderId="33" xfId="0" applyNumberFormat="1" applyFont="1" applyFill="1" applyBorder="1" applyAlignment="1">
      <alignment horizontal="center" vertical="center" wrapText="1"/>
    </xf>
    <xf numFmtId="0" fontId="10" fillId="0" borderId="13" xfId="35" applyFont="1" applyFill="1" applyBorder="1" applyAlignment="1">
      <alignment horizontal="left" vertical="center" wrapText="1"/>
    </xf>
    <xf numFmtId="0" fontId="9" fillId="0" borderId="0" xfId="0" applyFont="1" applyBorder="1" applyAlignment="1">
      <alignment horizontal="center" vertical="center"/>
    </xf>
    <xf numFmtId="0" fontId="0" fillId="0" borderId="0" xfId="0"/>
    <xf numFmtId="0" fontId="33" fillId="0" borderId="2" xfId="0" applyFont="1" applyFill="1" applyBorder="1" applyAlignment="1">
      <alignment horizontal="center" vertical="center" wrapText="1"/>
    </xf>
    <xf numFmtId="0" fontId="0" fillId="0" borderId="0" xfId="0"/>
    <xf numFmtId="0" fontId="0" fillId="0" borderId="0" xfId="0" applyBorder="1"/>
    <xf numFmtId="0" fontId="3" fillId="0" borderId="6" xfId="35" applyFont="1" applyFill="1" applyBorder="1" applyAlignment="1">
      <alignment horizontal="left" vertical="center" wrapText="1"/>
    </xf>
    <xf numFmtId="0" fontId="33" fillId="0" borderId="7" xfId="0" applyFont="1" applyFill="1" applyBorder="1"/>
    <xf numFmtId="0" fontId="3" fillId="0" borderId="2" xfId="0" applyFont="1" applyFill="1" applyBorder="1" applyAlignment="1">
      <alignment horizontal="left" vertical="top" wrapText="1"/>
    </xf>
    <xf numFmtId="0" fontId="33" fillId="0" borderId="7" xfId="0" applyFont="1" applyBorder="1" applyAlignment="1">
      <alignment horizontal="center" vertical="center"/>
    </xf>
    <xf numFmtId="0" fontId="33" fillId="0" borderId="7" xfId="0" applyFont="1" applyFill="1" applyBorder="1" applyAlignment="1">
      <alignment horizontal="center" vertical="center"/>
    </xf>
    <xf numFmtId="0" fontId="0" fillId="0" borderId="0" xfId="0"/>
    <xf numFmtId="0" fontId="9" fillId="0" borderId="0" xfId="0" applyFont="1"/>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3" fillId="0" borderId="3" xfId="0" applyFont="1" applyBorder="1" applyAlignment="1">
      <alignment horizontal="center"/>
    </xf>
    <xf numFmtId="0" fontId="10" fillId="0" borderId="2" xfId="35" applyFont="1" applyBorder="1" applyAlignment="1">
      <alignment horizontal="left" vertical="center" wrapText="1"/>
    </xf>
    <xf numFmtId="0" fontId="10" fillId="0" borderId="11" xfId="35" applyFont="1" applyBorder="1" applyAlignment="1">
      <alignment horizontal="left" vertical="center" wrapText="1"/>
    </xf>
    <xf numFmtId="0" fontId="9" fillId="0" borderId="0" xfId="0" applyFont="1" applyBorder="1"/>
    <xf numFmtId="0" fontId="3" fillId="0" borderId="0" xfId="0" applyFont="1" applyBorder="1" applyAlignment="1">
      <alignment horizontal="center" vertical="center"/>
    </xf>
    <xf numFmtId="165" fontId="9" fillId="0" borderId="3" xfId="0" applyNumberFormat="1" applyFont="1" applyBorder="1" applyAlignment="1">
      <alignment horizontal="center" vertical="center" wrapText="1"/>
    </xf>
    <xf numFmtId="0" fontId="3" fillId="0" borderId="0" xfId="0" applyFont="1" applyBorder="1" applyAlignment="1">
      <alignment horizontal="center"/>
    </xf>
    <xf numFmtId="0" fontId="3" fillId="0" borderId="9" xfId="0" applyFont="1" applyFill="1" applyBorder="1" applyAlignment="1">
      <alignment horizontal="left" vertical="top" wrapText="1"/>
    </xf>
    <xf numFmtId="0" fontId="3" fillId="0" borderId="7" xfId="0" applyFont="1" applyFill="1" applyBorder="1" applyAlignment="1">
      <alignment horizontal="center" vertical="center"/>
    </xf>
    <xf numFmtId="0" fontId="1" fillId="0" borderId="0" xfId="0" applyFont="1" applyAlignment="1">
      <alignment horizontal="left" vertical="center" wrapText="1"/>
    </xf>
    <xf numFmtId="0" fontId="3" fillId="0" borderId="7" xfId="0" applyFont="1" applyFill="1" applyBorder="1" applyAlignment="1">
      <alignment horizontal="center"/>
    </xf>
    <xf numFmtId="0" fontId="9" fillId="0" borderId="7" xfId="0" applyFont="1" applyFill="1" applyBorder="1" applyAlignment="1">
      <alignment horizontal="center" vertical="center" wrapText="1"/>
    </xf>
    <xf numFmtId="0" fontId="9" fillId="0" borderId="7"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3" xfId="0" applyFont="1" applyFill="1" applyBorder="1" applyAlignment="1">
      <alignment horizontal="center"/>
    </xf>
    <xf numFmtId="165" fontId="9" fillId="0" borderId="8"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165" fontId="9" fillId="0" borderId="8" xfId="0" applyNumberFormat="1" applyFont="1" applyFill="1" applyBorder="1" applyAlignment="1">
      <alignment horizontal="center" vertical="center" wrapText="1"/>
    </xf>
    <xf numFmtId="0" fontId="10" fillId="0" borderId="0" xfId="35" applyFont="1" applyFill="1" applyBorder="1" applyAlignment="1">
      <alignment horizontal="left" vertical="center" wrapText="1"/>
    </xf>
    <xf numFmtId="0" fontId="10" fillId="0" borderId="2" xfId="35"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9" xfId="0" applyFont="1" applyFill="1" applyBorder="1" applyAlignment="1">
      <alignment horizontal="center" vertical="center"/>
    </xf>
    <xf numFmtId="0" fontId="10" fillId="0" borderId="12" xfId="35" applyFont="1" applyFill="1" applyBorder="1" applyAlignment="1">
      <alignment horizontal="left"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3" fillId="0" borderId="0" xfId="0" applyFont="1" applyFill="1" applyBorder="1" applyAlignment="1">
      <alignment horizontal="center"/>
    </xf>
    <xf numFmtId="0" fontId="3" fillId="0" borderId="0" xfId="0" applyFont="1" applyFill="1" applyBorder="1" applyAlignment="1">
      <alignment horizontal="left" vertical="top" wrapText="1"/>
    </xf>
    <xf numFmtId="0" fontId="3" fillId="0" borderId="8" xfId="0" applyFont="1" applyFill="1" applyBorder="1" applyAlignment="1">
      <alignment horizontal="center"/>
    </xf>
    <xf numFmtId="0" fontId="9" fillId="0" borderId="8" xfId="0" applyFont="1" applyFill="1" applyBorder="1" applyAlignment="1">
      <alignment horizontal="center" vertical="center" wrapText="1"/>
    </xf>
    <xf numFmtId="0" fontId="9" fillId="0" borderId="7" xfId="0" applyFont="1" applyFill="1" applyBorder="1"/>
    <xf numFmtId="0" fontId="10" fillId="0" borderId="3" xfId="35" applyFont="1" applyFill="1" applyBorder="1" applyAlignment="1">
      <alignment horizontal="left" vertical="center" wrapText="1"/>
    </xf>
    <xf numFmtId="165" fontId="9" fillId="0" borderId="7" xfId="0" applyNumberFormat="1" applyFont="1" applyFill="1" applyBorder="1" applyAlignment="1">
      <alignment horizontal="center" vertical="center" wrapText="1"/>
    </xf>
    <xf numFmtId="0" fontId="10" fillId="0" borderId="11" xfId="35" applyFont="1" applyFill="1" applyBorder="1" applyAlignment="1">
      <alignment horizontal="left" vertical="center" wrapText="1"/>
    </xf>
    <xf numFmtId="0" fontId="10" fillId="0" borderId="8" xfId="35" applyFont="1" applyFill="1" applyBorder="1" applyAlignment="1">
      <alignment horizontal="left" vertical="center" wrapText="1"/>
    </xf>
    <xf numFmtId="0" fontId="9" fillId="0" borderId="6" xfId="0" applyFont="1" applyFill="1" applyBorder="1" applyAlignment="1">
      <alignment horizontal="center" vertical="center" wrapText="1"/>
    </xf>
    <xf numFmtId="0" fontId="3" fillId="0" borderId="13" xfId="0" applyFont="1" applyFill="1" applyBorder="1" applyAlignment="1">
      <alignment horizontal="center"/>
    </xf>
    <xf numFmtId="0" fontId="3" fillId="0" borderId="14" xfId="0" applyFont="1" applyFill="1" applyBorder="1" applyAlignment="1">
      <alignment horizontal="center"/>
    </xf>
    <xf numFmtId="0" fontId="3" fillId="0" borderId="6" xfId="0" applyFont="1" applyFill="1" applyBorder="1" applyAlignment="1">
      <alignment horizontal="left" vertical="center" wrapText="1"/>
    </xf>
    <xf numFmtId="0" fontId="9" fillId="0" borderId="0" xfId="0" applyFont="1" applyBorder="1" applyAlignment="1">
      <alignment horizontal="center" vertical="center" wrapText="1"/>
    </xf>
    <xf numFmtId="0" fontId="3" fillId="0" borderId="7" xfId="0" applyFont="1" applyFill="1" applyBorder="1" applyAlignment="1">
      <alignment horizontal="left" vertical="top" wrapText="1"/>
    </xf>
    <xf numFmtId="0" fontId="3" fillId="0" borderId="0" xfId="0" applyFont="1" applyFill="1" applyBorder="1" applyAlignment="1">
      <alignment horizontal="center" vertical="center"/>
    </xf>
    <xf numFmtId="0" fontId="9" fillId="0" borderId="14" xfId="0" applyFont="1" applyBorder="1"/>
    <xf numFmtId="0" fontId="9" fillId="0" borderId="12" xfId="0" applyFont="1" applyBorder="1"/>
    <xf numFmtId="0" fontId="3" fillId="0" borderId="32"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42" xfId="0" applyFont="1" applyFill="1" applyBorder="1" applyAlignment="1">
      <alignment horizontal="center" vertical="center"/>
    </xf>
    <xf numFmtId="0" fontId="9" fillId="0" borderId="43" xfId="0" applyFont="1" applyFill="1" applyBorder="1" applyAlignment="1">
      <alignment horizontal="center" vertical="center"/>
    </xf>
    <xf numFmtId="0" fontId="9" fillId="0" borderId="44" xfId="0" applyFont="1" applyFill="1" applyBorder="1" applyAlignment="1">
      <alignment horizontal="center" vertical="center"/>
    </xf>
    <xf numFmtId="165" fontId="9" fillId="0" borderId="44" xfId="0" applyNumberFormat="1" applyFont="1" applyFill="1" applyBorder="1" applyAlignment="1">
      <alignment horizontal="center" vertical="center"/>
    </xf>
    <xf numFmtId="165" fontId="9" fillId="0" borderId="33" xfId="0" applyNumberFormat="1" applyFont="1" applyFill="1" applyBorder="1" applyAlignment="1">
      <alignment horizontal="center" vertical="center"/>
    </xf>
    <xf numFmtId="0" fontId="33" fillId="0" borderId="3" xfId="0" applyFont="1" applyFill="1" applyBorder="1" applyAlignment="1">
      <alignment horizontal="center" vertical="center" wrapText="1"/>
    </xf>
    <xf numFmtId="165" fontId="33" fillId="0" borderId="8" xfId="0" applyNumberFormat="1" applyFont="1" applyFill="1" applyBorder="1" applyAlignment="1">
      <alignment horizontal="center" vertical="center" wrapText="1"/>
    </xf>
    <xf numFmtId="165" fontId="33" fillId="0" borderId="3" xfId="0" applyNumberFormat="1" applyFont="1" applyFill="1" applyBorder="1" applyAlignment="1">
      <alignment horizontal="center" vertical="center" wrapText="1"/>
    </xf>
    <xf numFmtId="1" fontId="33" fillId="0" borderId="3" xfId="0" applyNumberFormat="1" applyFont="1" applyFill="1" applyBorder="1" applyAlignment="1">
      <alignment horizontal="center" vertical="center" wrapText="1"/>
    </xf>
    <xf numFmtId="1" fontId="33" fillId="0" borderId="8" xfId="0" applyNumberFormat="1" applyFont="1" applyFill="1" applyBorder="1" applyAlignment="1">
      <alignment horizontal="center" vertical="center" wrapText="1"/>
    </xf>
    <xf numFmtId="0" fontId="0" fillId="0" borderId="0" xfId="0" applyFill="1"/>
    <xf numFmtId="0" fontId="3" fillId="0" borderId="13" xfId="0" applyFont="1" applyFill="1" applyBorder="1" applyAlignment="1">
      <alignment horizontal="center" vertical="center"/>
    </xf>
    <xf numFmtId="0" fontId="9" fillId="0" borderId="44" xfId="0" applyFont="1" applyFill="1" applyBorder="1" applyAlignment="1">
      <alignment horizontal="center" vertical="center" wrapText="1"/>
    </xf>
    <xf numFmtId="165" fontId="0" fillId="0" borderId="0" xfId="0" applyNumberFormat="1"/>
    <xf numFmtId="164" fontId="3" fillId="3" borderId="33" xfId="35" applyNumberFormat="1" applyFont="1" applyFill="1" applyBorder="1" applyAlignment="1">
      <alignment horizontal="center" vertical="center"/>
    </xf>
    <xf numFmtId="0" fontId="3" fillId="0" borderId="54" xfId="0" applyFont="1" applyFill="1" applyBorder="1" applyAlignment="1">
      <alignment horizontal="center" vertical="center"/>
    </xf>
    <xf numFmtId="0" fontId="3" fillId="0" borderId="46" xfId="0" applyFont="1" applyFill="1" applyBorder="1" applyAlignment="1">
      <alignment horizontal="center"/>
    </xf>
    <xf numFmtId="0" fontId="3" fillId="0" borderId="46" xfId="0" applyFont="1" applyFill="1" applyBorder="1" applyAlignment="1">
      <alignment horizontal="center" vertical="center"/>
    </xf>
    <xf numFmtId="0" fontId="10" fillId="0" borderId="46" xfId="35" applyFont="1" applyFill="1" applyBorder="1" applyAlignment="1">
      <alignment horizontal="left" vertical="center" wrapText="1"/>
    </xf>
    <xf numFmtId="165" fontId="9" fillId="0" borderId="46" xfId="0" applyNumberFormat="1" applyFont="1" applyFill="1" applyBorder="1" applyAlignment="1">
      <alignment horizontal="center" vertical="center" wrapText="1"/>
    </xf>
    <xf numFmtId="165" fontId="33" fillId="0" borderId="46" xfId="0" applyNumberFormat="1" applyFont="1" applyFill="1" applyBorder="1" applyAlignment="1">
      <alignment horizontal="center" vertical="center"/>
    </xf>
    <xf numFmtId="0" fontId="9" fillId="0" borderId="50" xfId="0" applyFont="1" applyBorder="1"/>
    <xf numFmtId="0" fontId="6" fillId="2" borderId="31" xfId="35" applyFont="1" applyFill="1" applyBorder="1" applyAlignment="1">
      <alignment horizontal="center" vertical="center" wrapText="1"/>
    </xf>
    <xf numFmtId="0" fontId="9" fillId="0" borderId="43" xfId="0" applyFont="1" applyBorder="1"/>
    <xf numFmtId="0" fontId="9" fillId="0" borderId="33" xfId="0" applyFont="1" applyBorder="1"/>
    <xf numFmtId="3" fontId="3" fillId="0" borderId="45" xfId="35" applyNumberFormat="1" applyFont="1" applyBorder="1" applyAlignment="1">
      <alignment horizontal="center" vertical="center"/>
    </xf>
    <xf numFmtId="3" fontId="3" fillId="0" borderId="33" xfId="35" applyNumberFormat="1" applyFont="1" applyBorder="1" applyAlignment="1">
      <alignment horizontal="center" vertical="center"/>
    </xf>
    <xf numFmtId="0" fontId="9" fillId="0" borderId="44" xfId="0" applyFont="1" applyBorder="1"/>
    <xf numFmtId="0" fontId="9" fillId="36" borderId="44" xfId="0" applyFont="1" applyFill="1" applyBorder="1"/>
    <xf numFmtId="0" fontId="9" fillId="0" borderId="45" xfId="0" applyFont="1" applyBorder="1"/>
    <xf numFmtId="4" fontId="9" fillId="0" borderId="44" xfId="0" applyNumberFormat="1" applyFont="1" applyBorder="1"/>
    <xf numFmtId="4" fontId="32" fillId="0" borderId="50" xfId="0" applyNumberFormat="1" applyFont="1" applyBorder="1"/>
    <xf numFmtId="0" fontId="0" fillId="0" borderId="50" xfId="0" applyBorder="1"/>
    <xf numFmtId="0" fontId="0" fillId="0" borderId="50" xfId="0" applyFill="1" applyBorder="1"/>
    <xf numFmtId="0" fontId="3" fillId="0" borderId="32" xfId="0" applyFont="1" applyBorder="1" applyAlignment="1">
      <alignment horizontal="center" vertical="center"/>
    </xf>
    <xf numFmtId="9" fontId="9" fillId="0" borderId="50" xfId="0" applyNumberFormat="1" applyFont="1" applyBorder="1"/>
    <xf numFmtId="9" fontId="0" fillId="0" borderId="50" xfId="0" applyNumberFormat="1" applyBorder="1"/>
    <xf numFmtId="0" fontId="9" fillId="0" borderId="56" xfId="0" applyFont="1" applyBorder="1"/>
    <xf numFmtId="0" fontId="0" fillId="0" borderId="55" xfId="0" applyBorder="1"/>
    <xf numFmtId="0" fontId="3" fillId="3" borderId="3" xfId="35" applyFont="1" applyFill="1" applyBorder="1" applyAlignment="1">
      <alignment horizontal="center" vertical="center"/>
    </xf>
    <xf numFmtId="0" fontId="3" fillId="3" borderId="8" xfId="35" applyFont="1" applyFill="1" applyBorder="1" applyAlignment="1">
      <alignment horizontal="center" vertical="center"/>
    </xf>
    <xf numFmtId="0" fontId="3" fillId="3" borderId="28" xfId="35" applyFont="1" applyFill="1" applyBorder="1" applyAlignment="1">
      <alignment horizontal="center" vertical="center"/>
    </xf>
    <xf numFmtId="164" fontId="6" fillId="2" borderId="13" xfId="35" applyNumberFormat="1" applyFont="1" applyFill="1" applyBorder="1" applyAlignment="1">
      <alignment horizontal="center" vertical="center" wrapText="1"/>
    </xf>
    <xf numFmtId="0" fontId="9" fillId="0" borderId="50" xfId="0" applyFont="1" applyFill="1" applyBorder="1" applyAlignment="1">
      <alignment horizontal="center" vertical="center"/>
    </xf>
    <xf numFmtId="4" fontId="9" fillId="0" borderId="50" xfId="0" applyNumberFormat="1" applyFont="1" applyFill="1" applyBorder="1" applyAlignment="1">
      <alignment horizontal="center" vertical="center"/>
    </xf>
    <xf numFmtId="4" fontId="9" fillId="0" borderId="55" xfId="0" applyNumberFormat="1" applyFont="1" applyFill="1" applyBorder="1" applyAlignment="1">
      <alignment horizontal="center" vertical="center"/>
    </xf>
    <xf numFmtId="164" fontId="9" fillId="0" borderId="57" xfId="0" applyNumberFormat="1" applyFont="1" applyFill="1" applyBorder="1"/>
    <xf numFmtId="164" fontId="9" fillId="0" borderId="50" xfId="0" applyNumberFormat="1" applyFont="1" applyFill="1" applyBorder="1" applyAlignment="1">
      <alignment horizontal="center" vertical="center" wrapText="1"/>
    </xf>
    <xf numFmtId="164" fontId="9" fillId="0" borderId="55" xfId="0" applyNumberFormat="1" applyFont="1" applyFill="1" applyBorder="1" applyAlignment="1">
      <alignment horizontal="center" vertical="center" wrapText="1"/>
    </xf>
    <xf numFmtId="0" fontId="3" fillId="0" borderId="11" xfId="0" applyFont="1" applyFill="1" applyBorder="1" applyAlignment="1">
      <alignment horizontal="center" vertical="center"/>
    </xf>
    <xf numFmtId="0" fontId="3" fillId="0" borderId="12" xfId="0" applyFont="1" applyFill="1" applyBorder="1" applyAlignment="1">
      <alignment horizontal="center"/>
    </xf>
    <xf numFmtId="0" fontId="37" fillId="0" borderId="0" xfId="0" applyFont="1"/>
    <xf numFmtId="0" fontId="6" fillId="2" borderId="45" xfId="35" applyFont="1" applyFill="1" applyBorder="1" applyAlignment="1">
      <alignment horizontal="center" vertical="center" wrapText="1"/>
    </xf>
    <xf numFmtId="1" fontId="9" fillId="0" borderId="3" xfId="0" applyNumberFormat="1" applyFont="1" applyFill="1" applyBorder="1" applyAlignment="1">
      <alignment horizontal="center" vertical="center" wrapText="1"/>
    </xf>
    <xf numFmtId="1" fontId="33" fillId="0" borderId="2" xfId="0" applyNumberFormat="1" applyFont="1" applyFill="1" applyBorder="1" applyAlignment="1">
      <alignment horizontal="center" vertical="center" wrapText="1"/>
    </xf>
    <xf numFmtId="0" fontId="9" fillId="0" borderId="44" xfId="0" applyFont="1" applyBorder="1" applyAlignment="1">
      <alignment horizontal="center" vertical="center" wrapText="1"/>
    </xf>
    <xf numFmtId="2" fontId="1" fillId="0" borderId="12" xfId="0" applyNumberFormat="1" applyFont="1" applyBorder="1" applyAlignment="1">
      <alignment horizontal="center" vertical="center"/>
    </xf>
    <xf numFmtId="2" fontId="1" fillId="0" borderId="0" xfId="0" applyNumberFormat="1" applyFont="1" applyBorder="1" applyAlignment="1">
      <alignment horizontal="center" vertical="center"/>
    </xf>
    <xf numFmtId="165" fontId="33" fillId="0" borderId="2" xfId="0" applyNumberFormat="1" applyFont="1" applyFill="1" applyBorder="1" applyAlignment="1">
      <alignment horizontal="center" vertical="center" wrapText="1"/>
    </xf>
    <xf numFmtId="0" fontId="9" fillId="0" borderId="8" xfId="0" applyFont="1" applyBorder="1" applyAlignment="1">
      <alignment horizontal="center" vertical="center" wrapText="1"/>
    </xf>
    <xf numFmtId="164" fontId="6" fillId="2" borderId="0" xfId="35" applyNumberFormat="1" applyFont="1" applyFill="1" applyBorder="1" applyAlignment="1">
      <alignment horizontal="center" vertical="center" wrapText="1"/>
    </xf>
    <xf numFmtId="0" fontId="3" fillId="0" borderId="8" xfId="0" applyFont="1" applyFill="1" applyBorder="1" applyAlignment="1">
      <alignment horizontal="center" vertical="top"/>
    </xf>
    <xf numFmtId="0" fontId="9" fillId="0" borderId="44" xfId="0" applyFont="1" applyFill="1" applyBorder="1"/>
    <xf numFmtId="165" fontId="35" fillId="0" borderId="3" xfId="0" applyNumberFormat="1" applyFont="1" applyFill="1" applyBorder="1" applyAlignment="1">
      <alignment horizontal="center" vertical="center"/>
    </xf>
    <xf numFmtId="165" fontId="35" fillId="0" borderId="8" xfId="0" applyNumberFormat="1" applyFont="1" applyFill="1" applyBorder="1" applyAlignment="1">
      <alignment horizontal="center" vertical="center" wrapText="1"/>
    </xf>
    <xf numFmtId="165" fontId="3" fillId="0" borderId="33" xfId="0" applyNumberFormat="1" applyFont="1" applyFill="1" applyBorder="1" applyAlignment="1">
      <alignment horizontal="center" vertical="center"/>
    </xf>
    <xf numFmtId="0" fontId="38" fillId="0" borderId="3" xfId="0" applyFont="1" applyBorder="1" applyAlignment="1">
      <alignment horizontal="center" vertical="center"/>
    </xf>
    <xf numFmtId="0" fontId="39" fillId="0" borderId="50" xfId="0" applyFont="1" applyBorder="1"/>
    <xf numFmtId="0" fontId="38" fillId="0" borderId="7" xfId="0" applyFont="1" applyFill="1" applyBorder="1"/>
    <xf numFmtId="0" fontId="39" fillId="0" borderId="43" xfId="0" applyFont="1" applyFill="1" applyBorder="1" applyAlignment="1">
      <alignment horizontal="center" vertical="center"/>
    </xf>
    <xf numFmtId="0" fontId="0" fillId="0" borderId="0" xfId="0" applyAlignment="1">
      <alignment vertical="center"/>
    </xf>
    <xf numFmtId="0" fontId="0" fillId="0" borderId="0" xfId="0" applyAlignment="1">
      <alignment wrapText="1"/>
    </xf>
    <xf numFmtId="0" fontId="37" fillId="0" borderId="0" xfId="0" applyFont="1" applyAlignment="1">
      <alignment vertical="center" wrapText="1"/>
    </xf>
    <xf numFmtId="0" fontId="40" fillId="0" borderId="0" xfId="0" applyFont="1" applyAlignment="1">
      <alignment wrapText="1"/>
    </xf>
    <xf numFmtId="0" fontId="0" fillId="0" borderId="0" xfId="0" applyFill="1" applyAlignment="1">
      <alignment wrapText="1"/>
    </xf>
    <xf numFmtId="4" fontId="32" fillId="0" borderId="0" xfId="0" applyNumberFormat="1" applyFont="1" applyBorder="1" applyAlignment="1">
      <alignment wrapText="1"/>
    </xf>
    <xf numFmtId="4" fontId="32" fillId="36" borderId="0" xfId="0" applyNumberFormat="1" applyFont="1" applyFill="1" applyBorder="1" applyAlignment="1">
      <alignment wrapText="1"/>
    </xf>
    <xf numFmtId="4" fontId="32" fillId="0" borderId="0" xfId="0" applyNumberFormat="1" applyFont="1" applyFill="1" applyBorder="1" applyAlignment="1">
      <alignment wrapText="1"/>
    </xf>
    <xf numFmtId="0" fontId="29" fillId="0" borderId="0" xfId="0" applyFont="1" applyAlignment="1">
      <alignment wrapText="1"/>
    </xf>
    <xf numFmtId="0" fontId="29" fillId="37" borderId="0" xfId="0" applyFont="1" applyFill="1" applyAlignment="1">
      <alignment wrapText="1"/>
    </xf>
    <xf numFmtId="0" fontId="0" fillId="0" borderId="0" xfId="0" applyAlignment="1">
      <alignment vertical="center" wrapText="1"/>
    </xf>
    <xf numFmtId="0" fontId="0" fillId="0" borderId="0" xfId="0" applyBorder="1" applyAlignment="1">
      <alignment wrapText="1"/>
    </xf>
    <xf numFmtId="0" fontId="29" fillId="0" borderId="0" xfId="0" applyFont="1" applyFill="1" applyAlignment="1">
      <alignment wrapText="1"/>
    </xf>
    <xf numFmtId="0" fontId="0" fillId="37" borderId="0" xfId="0" applyFill="1" applyAlignment="1">
      <alignment wrapText="1"/>
    </xf>
    <xf numFmtId="0" fontId="41" fillId="0" borderId="0" xfId="35" applyFont="1" applyFill="1" applyBorder="1" applyAlignment="1">
      <alignment horizontal="left" vertical="center" wrapText="1"/>
    </xf>
    <xf numFmtId="0" fontId="0" fillId="0" borderId="7" xfId="0" applyBorder="1"/>
    <xf numFmtId="3" fontId="3" fillId="0" borderId="43" xfId="35" applyNumberFormat="1" applyFont="1" applyBorder="1" applyAlignment="1">
      <alignment horizontal="center" vertical="center"/>
    </xf>
    <xf numFmtId="0" fontId="37" fillId="0" borderId="0" xfId="0" applyFont="1" applyAlignment="1">
      <alignment vertical="center"/>
    </xf>
    <xf numFmtId="0" fontId="0" fillId="0" borderId="43" xfId="0" applyBorder="1"/>
    <xf numFmtId="0" fontId="42" fillId="0" borderId="0" xfId="0" applyFont="1"/>
    <xf numFmtId="4" fontId="3" fillId="0" borderId="44" xfId="35" applyNumberFormat="1" applyFont="1" applyBorder="1" applyAlignment="1">
      <alignment horizontal="center" vertical="center"/>
    </xf>
    <xf numFmtId="2" fontId="9" fillId="0" borderId="33" xfId="0" applyNumberFormat="1" applyFont="1" applyFill="1" applyBorder="1" applyAlignment="1">
      <alignment horizontal="center" vertical="center"/>
    </xf>
    <xf numFmtId="0" fontId="36" fillId="0" borderId="13" xfId="0" applyFont="1" applyBorder="1"/>
    <xf numFmtId="0" fontId="36" fillId="0" borderId="44" xfId="0" applyFont="1" applyBorder="1"/>
    <xf numFmtId="0" fontId="27" fillId="0" borderId="0" xfId="0" applyFont="1"/>
    <xf numFmtId="0" fontId="6" fillId="0" borderId="8" xfId="35" applyFont="1" applyFill="1" applyBorder="1" applyAlignment="1">
      <alignment horizontal="center" vertical="center" wrapText="1"/>
    </xf>
    <xf numFmtId="0" fontId="33" fillId="0" borderId="11" xfId="0" applyFont="1" applyFill="1" applyBorder="1" applyAlignment="1">
      <alignment horizontal="center" vertical="center" wrapText="1"/>
    </xf>
    <xf numFmtId="0" fontId="3" fillId="36" borderId="7" xfId="0" applyFont="1" applyFill="1" applyBorder="1" applyAlignment="1">
      <alignment horizontal="center"/>
    </xf>
    <xf numFmtId="0" fontId="3" fillId="36" borderId="8" xfId="0" applyFont="1" applyFill="1" applyBorder="1" applyAlignment="1">
      <alignment horizontal="center"/>
    </xf>
    <xf numFmtId="1" fontId="35" fillId="0" borderId="8" xfId="0" applyNumberFormat="1" applyFont="1" applyFill="1" applyBorder="1" applyAlignment="1">
      <alignment horizontal="center" vertical="center" wrapText="1"/>
    </xf>
    <xf numFmtId="2" fontId="1" fillId="0" borderId="9" xfId="0" applyNumberFormat="1" applyFont="1" applyFill="1" applyBorder="1" applyAlignment="1">
      <alignment horizontal="center" vertical="center"/>
    </xf>
    <xf numFmtId="0" fontId="3" fillId="0" borderId="58" xfId="0" applyFont="1" applyFill="1" applyBorder="1" applyAlignment="1">
      <alignment horizontal="center" vertical="center"/>
    </xf>
    <xf numFmtId="0" fontId="3" fillId="0" borderId="59" xfId="0" applyFont="1" applyFill="1" applyBorder="1" applyAlignment="1">
      <alignment horizontal="left" vertical="center" wrapText="1"/>
    </xf>
    <xf numFmtId="0" fontId="6" fillId="0" borderId="0" xfId="0" applyFont="1" applyBorder="1" applyAlignment="1">
      <alignment horizontal="left" vertical="center" wrapText="1"/>
    </xf>
    <xf numFmtId="0" fontId="3" fillId="3" borderId="3" xfId="35" applyFont="1" applyFill="1" applyBorder="1" applyAlignment="1">
      <alignment horizontal="center" vertical="center"/>
    </xf>
    <xf numFmtId="0" fontId="3" fillId="3" borderId="8" xfId="35" applyFont="1" applyFill="1" applyBorder="1" applyAlignment="1">
      <alignment horizontal="center" vertical="center"/>
    </xf>
    <xf numFmtId="2" fontId="13" fillId="0" borderId="0" xfId="0" applyNumberFormat="1" applyFont="1" applyBorder="1" applyAlignment="1">
      <alignment horizontal="center" vertical="center" wrapText="1"/>
    </xf>
    <xf numFmtId="0" fontId="0" fillId="0" borderId="0" xfId="0" applyBorder="1" applyAlignment="1">
      <alignment horizontal="center"/>
    </xf>
    <xf numFmtId="0" fontId="0" fillId="0" borderId="0" xfId="0" applyBorder="1" applyAlignment="1"/>
    <xf numFmtId="0" fontId="5" fillId="0" borderId="0" xfId="35" applyFont="1" applyBorder="1" applyAlignment="1">
      <alignment horizontal="left" vertical="center" wrapText="1"/>
    </xf>
    <xf numFmtId="0" fontId="3" fillId="3" borderId="28" xfId="35" applyFont="1" applyFill="1" applyBorder="1" applyAlignment="1">
      <alignment horizontal="center" vertical="center"/>
    </xf>
    <xf numFmtId="0" fontId="3" fillId="3" borderId="29" xfId="35" applyFont="1" applyFill="1" applyBorder="1" applyAlignment="1">
      <alignment horizontal="center" vertical="center"/>
    </xf>
    <xf numFmtId="0" fontId="3" fillId="3" borderId="40" xfId="35" applyFont="1" applyFill="1" applyBorder="1" applyAlignment="1">
      <alignment horizontal="center" vertical="center"/>
    </xf>
    <xf numFmtId="0" fontId="3" fillId="3" borderId="47" xfId="35" applyFont="1" applyFill="1" applyBorder="1" applyAlignment="1">
      <alignment horizontal="center" vertical="center"/>
    </xf>
    <xf numFmtId="0" fontId="3" fillId="3" borderId="7" xfId="35" applyFont="1" applyFill="1" applyBorder="1" applyAlignment="1">
      <alignment horizontal="center" vertical="center"/>
    </xf>
    <xf numFmtId="164" fontId="3" fillId="3" borderId="43" xfId="35" applyNumberFormat="1" applyFont="1" applyFill="1" applyBorder="1" applyAlignment="1">
      <alignment horizontal="center" vertical="center"/>
    </xf>
    <xf numFmtId="164" fontId="3" fillId="3" borderId="33" xfId="35" applyNumberFormat="1" applyFont="1" applyFill="1" applyBorder="1" applyAlignment="1">
      <alignment horizontal="center" vertical="center"/>
    </xf>
  </cellXfs>
  <cellStyles count="44">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y" xfId="27" builtinId="26" customBuiltin="1"/>
    <cellStyle name="Komórka połączona" xfId="28" builtinId="24" customBuiltin="1"/>
    <cellStyle name="Komórka zaznaczona" xfId="29" builtinId="23" customBuiltin="1"/>
    <cellStyle name="Nagłówek 1" xfId="30" builtinId="16" customBuiltin="1"/>
    <cellStyle name="Nagłówek 2" xfId="31" builtinId="17" customBuiltin="1"/>
    <cellStyle name="Nagłówek 3" xfId="32" builtinId="18" customBuiltin="1"/>
    <cellStyle name="Nagłówek 4" xfId="33" builtinId="19" customBuiltin="1"/>
    <cellStyle name="Neutralny" xfId="34" builtinId="28" customBuiltin="1"/>
    <cellStyle name="Normalny" xfId="0" builtinId="0"/>
    <cellStyle name="Normalny_Slepy_ciechomicka profil" xfId="35"/>
    <cellStyle name="Obliczenia" xfId="36" builtinId="22" customBuiltin="1"/>
    <cellStyle name="Opis" xfId="37"/>
    <cellStyle name="Suma" xfId="38" builtinId="25" customBuiltin="1"/>
    <cellStyle name="Tekst objaśnienia" xfId="39" builtinId="53" customBuiltin="1"/>
    <cellStyle name="Tekst ostrzeżenia" xfId="40" builtinId="11" customBuiltin="1"/>
    <cellStyle name="Tytuł" xfId="41" builtinId="15" customBuiltin="1"/>
    <cellStyle name="Uwaga" xfId="42" builtinId="10" customBuiltin="1"/>
    <cellStyle name="Zły" xfId="43" builtinId="27"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queryTables/queryTable1.xml><?xml version="1.0" encoding="utf-8"?>
<queryTable xmlns="http://schemas.openxmlformats.org/spreadsheetml/2006/main" name="katalog_3" connectionId="4"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katalog_2" connectionId="3" autoFormatId="16" applyNumberFormats="0" applyBorderFormats="0" applyFontFormats="1" applyPatternFormats="1" applyAlignmentFormats="0" applyWidthHeightFormats="0"/>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9"/>
  <sheetViews>
    <sheetView tabSelected="1" view="pageBreakPreview" topLeftCell="A209" zoomScale="130" zoomScaleNormal="100" zoomScaleSheetLayoutView="130" workbookViewId="0">
      <selection activeCell="D67" sqref="D67"/>
    </sheetView>
  </sheetViews>
  <sheetFormatPr defaultRowHeight="15"/>
  <cols>
    <col min="1" max="1" width="3.875" style="43" customWidth="1"/>
    <col min="2" max="2" width="4.75" style="2" hidden="1" customWidth="1"/>
    <col min="3" max="3" width="10" style="12" customWidth="1"/>
    <col min="4" max="4" width="39.875" customWidth="1"/>
    <col min="5" max="5" width="6.625" customWidth="1"/>
    <col min="6" max="6" width="20.25" customWidth="1"/>
    <col min="7" max="7" width="7.125" style="1" customWidth="1"/>
    <col min="8" max="8" width="9.75" hidden="1" customWidth="1"/>
    <col min="9" max="9" width="0" hidden="1" customWidth="1"/>
    <col min="10" max="10" width="74" style="237" customWidth="1"/>
    <col min="11" max="11" width="9" style="115"/>
    <col min="12" max="12" width="24.375" style="115" customWidth="1"/>
    <col min="13" max="14" width="9" style="115"/>
  </cols>
  <sheetData>
    <row r="1" spans="1:11" ht="14.25">
      <c r="A1" s="272" t="s">
        <v>216</v>
      </c>
      <c r="B1" s="273"/>
      <c r="C1" s="273"/>
      <c r="D1" s="273"/>
      <c r="E1" s="273"/>
      <c r="F1" s="273"/>
      <c r="G1" s="273"/>
      <c r="H1" s="274"/>
      <c r="I1" s="274"/>
    </row>
    <row r="2" spans="1:11" ht="14.25">
      <c r="A2" s="273"/>
      <c r="B2" s="273"/>
      <c r="C2" s="273"/>
      <c r="D2" s="273"/>
      <c r="E2" s="273"/>
      <c r="F2" s="273"/>
      <c r="G2" s="273"/>
      <c r="H2" s="274"/>
      <c r="I2" s="274"/>
    </row>
    <row r="3" spans="1:11" ht="14.25">
      <c r="A3" s="273"/>
      <c r="B3" s="273"/>
      <c r="C3" s="273"/>
      <c r="D3" s="273"/>
      <c r="E3" s="273"/>
      <c r="F3" s="273"/>
      <c r="G3" s="273"/>
      <c r="H3" s="274"/>
      <c r="I3" s="274"/>
    </row>
    <row r="4" spans="1:11" ht="14.25">
      <c r="A4" s="273"/>
      <c r="B4" s="273"/>
      <c r="C4" s="273"/>
      <c r="D4" s="273"/>
      <c r="E4" s="273"/>
      <c r="F4" s="273"/>
      <c r="G4" s="273"/>
      <c r="H4" s="274"/>
      <c r="I4" s="274"/>
    </row>
    <row r="5" spans="1:11" ht="15.75">
      <c r="A5" s="275" t="s">
        <v>114</v>
      </c>
      <c r="B5" s="275"/>
      <c r="C5" s="275"/>
      <c r="D5" s="275"/>
      <c r="E5" s="275"/>
      <c r="F5" s="275"/>
      <c r="G5" s="275"/>
      <c r="H5" s="122"/>
      <c r="I5" s="122"/>
    </row>
    <row r="6" spans="1:11" s="115" customFormat="1" ht="15.75">
      <c r="A6" s="275" t="s">
        <v>148</v>
      </c>
      <c r="B6" s="275"/>
      <c r="C6" s="275"/>
      <c r="D6" s="275"/>
      <c r="E6" s="275"/>
      <c r="F6" s="275"/>
      <c r="G6" s="275"/>
      <c r="H6" s="122"/>
      <c r="I6" s="122"/>
      <c r="J6" s="238"/>
      <c r="K6" s="217"/>
    </row>
    <row r="7" spans="1:11" s="115" customFormat="1" ht="15.75">
      <c r="A7" s="275" t="s">
        <v>115</v>
      </c>
      <c r="B7" s="275"/>
      <c r="C7" s="275"/>
      <c r="D7" s="275"/>
      <c r="E7" s="275"/>
      <c r="F7" s="275"/>
      <c r="G7" s="275"/>
      <c r="H7" s="122"/>
      <c r="I7" s="122"/>
      <c r="J7" s="238"/>
      <c r="K7" s="217"/>
    </row>
    <row r="8" spans="1:11" s="115" customFormat="1" ht="16.5" thickBot="1">
      <c r="A8" s="275" t="s">
        <v>113</v>
      </c>
      <c r="B8" s="275"/>
      <c r="C8" s="275"/>
      <c r="D8" s="275"/>
      <c r="E8" s="275"/>
      <c r="F8" s="275"/>
      <c r="G8" s="275"/>
      <c r="H8" s="88"/>
      <c r="I8" s="88"/>
      <c r="J8" s="238"/>
      <c r="K8" s="217"/>
    </row>
    <row r="9" spans="1:11">
      <c r="A9" s="90"/>
      <c r="B9" s="207" t="s">
        <v>16</v>
      </c>
      <c r="C9" s="207" t="s">
        <v>16</v>
      </c>
      <c r="D9" s="276" t="s">
        <v>95</v>
      </c>
      <c r="E9" s="277" t="s">
        <v>17</v>
      </c>
      <c r="F9" s="278"/>
      <c r="G9" s="279"/>
      <c r="H9" s="33"/>
      <c r="I9" s="188"/>
    </row>
    <row r="10" spans="1:11" ht="45">
      <c r="A10" s="91" t="s">
        <v>18</v>
      </c>
      <c r="B10" s="270" t="s">
        <v>19</v>
      </c>
      <c r="C10" s="205" t="s">
        <v>20</v>
      </c>
      <c r="D10" s="270"/>
      <c r="E10" s="280" t="s">
        <v>22</v>
      </c>
      <c r="F10" s="280" t="s">
        <v>96</v>
      </c>
      <c r="G10" s="281" t="s">
        <v>23</v>
      </c>
      <c r="H10" s="24" t="s">
        <v>26</v>
      </c>
      <c r="I10" s="180" t="s">
        <v>28</v>
      </c>
    </row>
    <row r="11" spans="1:11">
      <c r="A11" s="92"/>
      <c r="B11" s="271"/>
      <c r="C11" s="206" t="s">
        <v>21</v>
      </c>
      <c r="D11" s="271"/>
      <c r="E11" s="271"/>
      <c r="F11" s="271"/>
      <c r="G11" s="282"/>
      <c r="H11" s="25" t="s">
        <v>27</v>
      </c>
      <c r="I11" s="180" t="s">
        <v>29</v>
      </c>
    </row>
    <row r="12" spans="1:11" ht="15.75" thickBot="1">
      <c r="A12" s="93">
        <v>1</v>
      </c>
      <c r="B12" s="34"/>
      <c r="C12" s="34">
        <v>2</v>
      </c>
      <c r="D12" s="35">
        <v>3</v>
      </c>
      <c r="E12" s="35">
        <v>4</v>
      </c>
      <c r="F12" s="35">
        <v>5</v>
      </c>
      <c r="G12" s="37">
        <v>6</v>
      </c>
      <c r="H12" s="36">
        <v>6</v>
      </c>
      <c r="I12" s="37">
        <v>7</v>
      </c>
    </row>
    <row r="13" spans="1:11">
      <c r="A13" s="94"/>
      <c r="B13" s="38"/>
      <c r="C13" s="47" t="s">
        <v>24</v>
      </c>
      <c r="D13" s="39" t="s">
        <v>25</v>
      </c>
      <c r="E13" s="40"/>
      <c r="F13" s="40"/>
      <c r="G13" s="42"/>
      <c r="H13" s="41"/>
      <c r="I13" s="42"/>
      <c r="J13" s="239"/>
    </row>
    <row r="14" spans="1:11">
      <c r="A14" s="166"/>
      <c r="B14" s="129"/>
      <c r="C14" s="127" t="s">
        <v>35</v>
      </c>
      <c r="D14" s="126" t="s">
        <v>36</v>
      </c>
      <c r="E14" s="130"/>
      <c r="F14" s="75"/>
      <c r="G14" s="167"/>
      <c r="H14" s="27"/>
      <c r="I14" s="189"/>
    </row>
    <row r="15" spans="1:11">
      <c r="A15" s="164">
        <v>1</v>
      </c>
      <c r="B15" s="133"/>
      <c r="C15" s="132"/>
      <c r="D15" s="137" t="s">
        <v>85</v>
      </c>
      <c r="E15" s="144" t="s">
        <v>37</v>
      </c>
      <c r="F15" s="171">
        <v>5.3499999999999999E-2</v>
      </c>
      <c r="G15" s="71">
        <f>F15</f>
        <v>5.3499999999999999E-2</v>
      </c>
      <c r="H15" s="162"/>
      <c r="I15" s="190"/>
    </row>
    <row r="16" spans="1:11" s="115" customFormat="1">
      <c r="A16" s="164">
        <f>MAX($A$14:A15)+1</f>
        <v>2</v>
      </c>
      <c r="B16" s="133"/>
      <c r="C16" s="132"/>
      <c r="D16" s="137" t="s">
        <v>149</v>
      </c>
      <c r="E16" s="144" t="s">
        <v>38</v>
      </c>
      <c r="F16" s="171">
        <v>1</v>
      </c>
      <c r="G16" s="65">
        <f>F16</f>
        <v>1</v>
      </c>
      <c r="H16" s="162"/>
      <c r="I16" s="190"/>
      <c r="J16" s="237"/>
    </row>
    <row r="17" spans="1:10">
      <c r="A17" s="165">
        <f>MAX($A$14:A16)+1</f>
        <v>3</v>
      </c>
      <c r="B17" s="148"/>
      <c r="C17" s="140"/>
      <c r="D17" s="143" t="s">
        <v>217</v>
      </c>
      <c r="E17" s="149" t="s">
        <v>38</v>
      </c>
      <c r="F17" s="175">
        <v>1</v>
      </c>
      <c r="G17" s="64">
        <v>1</v>
      </c>
      <c r="H17" s="162"/>
      <c r="I17" s="190"/>
    </row>
    <row r="18" spans="1:10">
      <c r="A18" s="166"/>
      <c r="B18" s="129"/>
      <c r="C18" s="127" t="s">
        <v>56</v>
      </c>
      <c r="D18" s="126" t="s">
        <v>67</v>
      </c>
      <c r="E18" s="130"/>
      <c r="F18" s="75"/>
      <c r="G18" s="167"/>
      <c r="H18" s="27"/>
      <c r="I18" s="189"/>
    </row>
    <row r="19" spans="1:10" s="115" customFormat="1" ht="15" customHeight="1">
      <c r="A19" s="164">
        <f>MAX($A$14:A17)+1</f>
        <v>4</v>
      </c>
      <c r="B19" s="156"/>
      <c r="C19" s="132"/>
      <c r="D19" s="137" t="s">
        <v>244</v>
      </c>
      <c r="E19" s="144" t="s">
        <v>32</v>
      </c>
      <c r="F19" s="171">
        <v>2</v>
      </c>
      <c r="G19" s="65">
        <f>F19</f>
        <v>2</v>
      </c>
      <c r="H19" s="162"/>
      <c r="I19" s="190"/>
      <c r="J19" s="237"/>
    </row>
    <row r="20" spans="1:10" s="115" customFormat="1" ht="15" customHeight="1">
      <c r="A20" s="164">
        <f>MAX($A$14:B19)+1</f>
        <v>5</v>
      </c>
      <c r="B20" s="156"/>
      <c r="C20" s="132"/>
      <c r="D20" s="137" t="s">
        <v>245</v>
      </c>
      <c r="E20" s="144" t="s">
        <v>32</v>
      </c>
      <c r="F20" s="171">
        <v>3</v>
      </c>
      <c r="G20" s="65">
        <f>F20</f>
        <v>3</v>
      </c>
      <c r="H20" s="162"/>
      <c r="I20" s="190"/>
      <c r="J20" s="237"/>
    </row>
    <row r="21" spans="1:10" ht="30" customHeight="1">
      <c r="A21" s="165">
        <f>MAX($A$14:B20)+1</f>
        <v>6</v>
      </c>
      <c r="B21" s="156"/>
      <c r="C21" s="132"/>
      <c r="D21" s="137" t="s">
        <v>326</v>
      </c>
      <c r="E21" s="149" t="s">
        <v>38</v>
      </c>
      <c r="F21" s="72">
        <v>1</v>
      </c>
      <c r="G21" s="64">
        <f>F21</f>
        <v>1</v>
      </c>
      <c r="H21" s="162"/>
      <c r="I21" s="190"/>
    </row>
    <row r="22" spans="1:10">
      <c r="A22" s="166"/>
      <c r="B22" s="129"/>
      <c r="C22" s="127" t="s">
        <v>69</v>
      </c>
      <c r="D22" s="126" t="s">
        <v>107</v>
      </c>
      <c r="E22" s="155"/>
      <c r="F22" s="73"/>
      <c r="G22" s="70"/>
      <c r="H22" s="27"/>
      <c r="I22" s="189"/>
    </row>
    <row r="23" spans="1:10" ht="45" customHeight="1">
      <c r="A23" s="165">
        <f>MAX($A$14:A22)+1</f>
        <v>7</v>
      </c>
      <c r="B23" s="157"/>
      <c r="C23" s="140"/>
      <c r="D23" s="143" t="s">
        <v>218</v>
      </c>
      <c r="E23" s="149" t="s">
        <v>34</v>
      </c>
      <c r="F23" s="72" t="s">
        <v>246</v>
      </c>
      <c r="G23" s="170">
        <f>1.2*(15.5*3.6+11.3*4.3+12.1*3.6+ 2.2*4.1)+0.25*3.14*1.2*(4.1*4.1+4.3*4.3+3.9*3.9+3.8*3.8)</f>
        <v>249.54690000000002</v>
      </c>
      <c r="H23" s="28"/>
      <c r="I23" s="189"/>
    </row>
    <row r="24" spans="1:10">
      <c r="A24" s="166"/>
      <c r="B24" s="142"/>
      <c r="C24" s="141" t="s">
        <v>68</v>
      </c>
      <c r="D24" s="158" t="s">
        <v>77</v>
      </c>
      <c r="E24" s="155"/>
      <c r="F24" s="73"/>
      <c r="G24" s="167"/>
      <c r="H24" s="26"/>
      <c r="I24" s="191"/>
    </row>
    <row r="25" spans="1:10" s="115" customFormat="1">
      <c r="A25" s="164">
        <f>MAX($A$14:A23)+1</f>
        <v>8</v>
      </c>
      <c r="B25" s="161"/>
      <c r="C25" s="139"/>
      <c r="D25" s="138" t="s">
        <v>209</v>
      </c>
      <c r="E25" s="145" t="s">
        <v>31</v>
      </c>
      <c r="F25" s="107" t="s">
        <v>219</v>
      </c>
      <c r="G25" s="169">
        <f>2*24.5</f>
        <v>49</v>
      </c>
      <c r="H25" s="26"/>
      <c r="I25" s="191"/>
      <c r="J25" s="237"/>
    </row>
    <row r="26" spans="1:10" s="74" customFormat="1" ht="15" customHeight="1">
      <c r="A26" s="164">
        <f>MAX($A$14:A25)+1</f>
        <v>9</v>
      </c>
      <c r="B26" s="161"/>
      <c r="C26" s="139"/>
      <c r="D26" s="138" t="s">
        <v>220</v>
      </c>
      <c r="E26" s="145" t="s">
        <v>34</v>
      </c>
      <c r="F26" s="107" t="s">
        <v>221</v>
      </c>
      <c r="G26" s="169">
        <f>7*18.7</f>
        <v>130.9</v>
      </c>
      <c r="H26" s="26"/>
      <c r="I26" s="191"/>
      <c r="J26" s="237"/>
    </row>
    <row r="27" spans="1:10">
      <c r="A27" s="164">
        <f>MAX($A$14:A26)+1</f>
        <v>10</v>
      </c>
      <c r="B27" s="161"/>
      <c r="C27" s="139"/>
      <c r="D27" s="138" t="s">
        <v>366</v>
      </c>
      <c r="E27" s="145" t="s">
        <v>34</v>
      </c>
      <c r="F27" s="107" t="s">
        <v>222</v>
      </c>
      <c r="G27" s="169">
        <f>10.8*18.7</f>
        <v>201.96</v>
      </c>
      <c r="H27" s="26"/>
      <c r="I27" s="191"/>
    </row>
    <row r="28" spans="1:10" s="115" customFormat="1">
      <c r="A28" s="164">
        <f>MAX($A$14:A27)+1</f>
        <v>11</v>
      </c>
      <c r="B28" s="161"/>
      <c r="C28" s="139"/>
      <c r="D28" s="138" t="s">
        <v>223</v>
      </c>
      <c r="E28" s="145" t="s">
        <v>31</v>
      </c>
      <c r="F28" s="107" t="s">
        <v>224</v>
      </c>
      <c r="G28" s="169">
        <f>2*18.7</f>
        <v>37.4</v>
      </c>
      <c r="H28" s="26"/>
      <c r="I28" s="191"/>
      <c r="J28" s="237"/>
    </row>
    <row r="29" spans="1:10">
      <c r="A29" s="164">
        <f>MAX($A$14:A28)+1</f>
        <v>12</v>
      </c>
      <c r="B29" s="161"/>
      <c r="C29" s="139"/>
      <c r="D29" s="138" t="s">
        <v>225</v>
      </c>
      <c r="E29" s="145" t="s">
        <v>30</v>
      </c>
      <c r="F29" s="107" t="s">
        <v>226</v>
      </c>
      <c r="G29" s="169">
        <f>2*24.5*0.25*0.28</f>
        <v>3.43</v>
      </c>
      <c r="H29" s="26"/>
      <c r="I29" s="191"/>
    </row>
    <row r="30" spans="1:10" s="74" customFormat="1">
      <c r="A30" s="164">
        <f>MAX($A$14:A29)+1</f>
        <v>13</v>
      </c>
      <c r="B30" s="161"/>
      <c r="C30" s="139"/>
      <c r="D30" s="138" t="s">
        <v>227</v>
      </c>
      <c r="E30" s="145" t="s">
        <v>32</v>
      </c>
      <c r="F30" s="107" t="s">
        <v>228</v>
      </c>
      <c r="G30" s="69">
        <f>2*7</f>
        <v>14</v>
      </c>
      <c r="H30" s="26"/>
      <c r="I30" s="191"/>
      <c r="J30" s="237"/>
    </row>
    <row r="31" spans="1:10" s="74" customFormat="1" ht="30" customHeight="1">
      <c r="A31" s="164">
        <f>MAX($A$14:A30)+1</f>
        <v>14</v>
      </c>
      <c r="B31" s="161"/>
      <c r="C31" s="139"/>
      <c r="D31" s="138" t="s">
        <v>230</v>
      </c>
      <c r="E31" s="145" t="s">
        <v>34</v>
      </c>
      <c r="F31" s="107" t="s">
        <v>231</v>
      </c>
      <c r="G31" s="69">
        <f>2*18.7*1.7+2*2.9*0.9+2*2.9*1</f>
        <v>74.599999999999994</v>
      </c>
      <c r="H31" s="26"/>
      <c r="I31" s="191"/>
      <c r="J31" s="237"/>
    </row>
    <row r="32" spans="1:10" s="74" customFormat="1" ht="22.5">
      <c r="A32" s="164">
        <f>MAX($A$14:A31)+1</f>
        <v>15</v>
      </c>
      <c r="B32" s="161"/>
      <c r="C32" s="139"/>
      <c r="D32" s="138" t="s">
        <v>229</v>
      </c>
      <c r="E32" s="145" t="s">
        <v>30</v>
      </c>
      <c r="F32" s="107" t="s">
        <v>232</v>
      </c>
      <c r="G32" s="69">
        <f>2*18.7*1.7*0.2+2*2.9*0.9*0.2 +2*2.9*1*0.2</f>
        <v>14.920000000000002</v>
      </c>
      <c r="H32" s="26"/>
      <c r="I32" s="191"/>
      <c r="J32" s="237"/>
    </row>
    <row r="33" spans="1:10" s="74" customFormat="1">
      <c r="A33" s="164">
        <f>MAX($A$14:A32)+1</f>
        <v>16</v>
      </c>
      <c r="B33" s="161"/>
      <c r="C33" s="139"/>
      <c r="D33" s="138" t="s">
        <v>150</v>
      </c>
      <c r="E33" s="145" t="s">
        <v>32</v>
      </c>
      <c r="F33" s="107">
        <v>2</v>
      </c>
      <c r="G33" s="69">
        <f>F33</f>
        <v>2</v>
      </c>
      <c r="H33" s="26"/>
      <c r="I33" s="191"/>
      <c r="J33" s="237"/>
    </row>
    <row r="34" spans="1:10">
      <c r="A34" s="166"/>
      <c r="B34" s="127"/>
      <c r="C34" s="141" t="s">
        <v>90</v>
      </c>
      <c r="D34" s="160" t="s">
        <v>91</v>
      </c>
      <c r="E34" s="130"/>
      <c r="F34" s="75"/>
      <c r="G34" s="70"/>
      <c r="H34" s="26"/>
      <c r="I34" s="191"/>
    </row>
    <row r="35" spans="1:10" ht="15" customHeight="1">
      <c r="A35" s="164">
        <f>MAX($A$14:A34)+1</f>
        <v>17</v>
      </c>
      <c r="B35" s="161"/>
      <c r="C35" s="139"/>
      <c r="D35" s="138" t="s">
        <v>234</v>
      </c>
      <c r="E35" s="145" t="s">
        <v>34</v>
      </c>
      <c r="F35" s="107" t="s">
        <v>375</v>
      </c>
      <c r="G35" s="69">
        <f>7.23*(7+7.3)</f>
        <v>103.38900000000001</v>
      </c>
      <c r="H35" s="26"/>
      <c r="I35" s="191"/>
    </row>
    <row r="36" spans="1:10" s="115" customFormat="1">
      <c r="A36" s="164">
        <f>MAX($A$14:A35)+1</f>
        <v>18</v>
      </c>
      <c r="B36" s="161"/>
      <c r="C36" s="139"/>
      <c r="D36" s="138" t="s">
        <v>233</v>
      </c>
      <c r="E36" s="145" t="s">
        <v>34</v>
      </c>
      <c r="F36" s="107" t="s">
        <v>377</v>
      </c>
      <c r="G36" s="69">
        <f>5.5*8.7+4.5*6.4</f>
        <v>76.649999999999991</v>
      </c>
      <c r="H36" s="26"/>
      <c r="I36" s="191"/>
      <c r="J36" s="237"/>
    </row>
    <row r="37" spans="1:10" s="115" customFormat="1">
      <c r="A37" s="164">
        <f>MAX($A$14:A36)+1</f>
        <v>19</v>
      </c>
      <c r="B37" s="161"/>
      <c r="C37" s="139"/>
      <c r="D37" s="138" t="s">
        <v>376</v>
      </c>
      <c r="E37" s="145" t="s">
        <v>34</v>
      </c>
      <c r="F37" s="107" t="s">
        <v>378</v>
      </c>
      <c r="G37" s="69">
        <f>9.8*4.5+6.4*7</f>
        <v>88.9</v>
      </c>
      <c r="H37" s="83"/>
      <c r="I37" s="192"/>
      <c r="J37" s="237"/>
    </row>
    <row r="38" spans="1:10" s="74" customFormat="1" ht="15" customHeight="1">
      <c r="A38" s="164">
        <f>MAX($A$14:A37)+1</f>
        <v>20</v>
      </c>
      <c r="B38" s="161"/>
      <c r="C38" s="139"/>
      <c r="D38" s="138" t="s">
        <v>151</v>
      </c>
      <c r="E38" s="145" t="s">
        <v>34</v>
      </c>
      <c r="F38" s="107" t="s">
        <v>379</v>
      </c>
      <c r="G38" s="69">
        <f>7.23*(7+7.5)</f>
        <v>104.83500000000001</v>
      </c>
      <c r="H38" s="83"/>
      <c r="I38" s="192"/>
      <c r="J38" s="237"/>
    </row>
    <row r="39" spans="1:10" s="74" customFormat="1" ht="15" customHeight="1">
      <c r="A39" s="164">
        <f>MAX($A$14:A38)+1</f>
        <v>21</v>
      </c>
      <c r="B39" s="161"/>
      <c r="C39" s="139"/>
      <c r="D39" s="138" t="s">
        <v>120</v>
      </c>
      <c r="E39" s="145" t="s">
        <v>31</v>
      </c>
      <c r="F39" s="107" t="s">
        <v>247</v>
      </c>
      <c r="G39" s="69">
        <f>2*8+12+15.5</f>
        <v>43.5</v>
      </c>
      <c r="H39" s="83"/>
      <c r="I39" s="192"/>
      <c r="J39" s="237"/>
    </row>
    <row r="40" spans="1:10" s="115" customFormat="1" ht="15" customHeight="1">
      <c r="A40" s="164">
        <f>MAX($A$14:A39)+1</f>
        <v>22</v>
      </c>
      <c r="B40" s="161"/>
      <c r="C40" s="139"/>
      <c r="D40" s="138" t="s">
        <v>235</v>
      </c>
      <c r="E40" s="145" t="s">
        <v>31</v>
      </c>
      <c r="F40" s="107" t="s">
        <v>236</v>
      </c>
      <c r="G40" s="69">
        <f>5.5+7.8+6.1+5.8</f>
        <v>25.2</v>
      </c>
      <c r="H40" s="83"/>
      <c r="I40" s="192"/>
      <c r="J40" s="237"/>
    </row>
    <row r="41" spans="1:10" s="115" customFormat="1" ht="30" customHeight="1">
      <c r="A41" s="164">
        <f>MAX($A$14:A40)+1</f>
        <v>23</v>
      </c>
      <c r="B41" s="161"/>
      <c r="C41" s="139"/>
      <c r="D41" s="138" t="s">
        <v>238</v>
      </c>
      <c r="E41" s="145" t="s">
        <v>34</v>
      </c>
      <c r="F41" s="107" t="s">
        <v>237</v>
      </c>
      <c r="G41" s="69">
        <f>0.7*2.6+3.3*0.8+2.1*2</f>
        <v>8.66</v>
      </c>
      <c r="H41" s="83"/>
      <c r="I41" s="192"/>
      <c r="J41" s="237"/>
    </row>
    <row r="42" spans="1:10" s="115" customFormat="1" ht="30" customHeight="1">
      <c r="A42" s="164">
        <f>MAX($A$14:A41)+1</f>
        <v>24</v>
      </c>
      <c r="B42" s="161"/>
      <c r="C42" s="139"/>
      <c r="D42" s="138" t="s">
        <v>242</v>
      </c>
      <c r="E42" s="145" t="s">
        <v>34</v>
      </c>
      <c r="F42" s="107" t="s">
        <v>241</v>
      </c>
      <c r="G42" s="69">
        <f>2.6*0.8+3.5*0.9</f>
        <v>5.23</v>
      </c>
      <c r="H42" s="83"/>
      <c r="I42" s="192"/>
      <c r="J42" s="237"/>
    </row>
    <row r="43" spans="1:10" s="74" customFormat="1">
      <c r="A43" s="164">
        <f>MAX($A$15:A42)+1</f>
        <v>25</v>
      </c>
      <c r="B43" s="161"/>
      <c r="C43" s="139"/>
      <c r="D43" s="138" t="s">
        <v>239</v>
      </c>
      <c r="E43" s="145" t="s">
        <v>31</v>
      </c>
      <c r="F43" s="107" t="s">
        <v>240</v>
      </c>
      <c r="G43" s="69">
        <f>5.6+7.8</f>
        <v>13.399999999999999</v>
      </c>
      <c r="H43" s="83"/>
      <c r="I43" s="192"/>
      <c r="J43" s="237"/>
    </row>
    <row r="44" spans="1:10" s="115" customFormat="1" ht="22.5">
      <c r="A44" s="165">
        <f>MAX($A$14:B43)+1</f>
        <v>26</v>
      </c>
      <c r="B44" s="87"/>
      <c r="C44" s="215"/>
      <c r="D44" s="153" t="s">
        <v>243</v>
      </c>
      <c r="E44" s="99" t="s">
        <v>124</v>
      </c>
      <c r="F44" s="262">
        <v>1</v>
      </c>
      <c r="G44" s="103">
        <v>1</v>
      </c>
      <c r="H44" s="83"/>
      <c r="I44" s="192"/>
      <c r="J44" s="237"/>
    </row>
    <row r="45" spans="1:10" s="115" customFormat="1" ht="30" customHeight="1">
      <c r="A45" s="166"/>
      <c r="B45" s="127"/>
      <c r="C45" s="141" t="s">
        <v>315</v>
      </c>
      <c r="D45" s="160" t="s">
        <v>365</v>
      </c>
      <c r="E45" s="130"/>
      <c r="F45" s="152"/>
      <c r="G45" s="70"/>
      <c r="H45" s="83"/>
      <c r="I45" s="192"/>
      <c r="J45" s="255"/>
    </row>
    <row r="46" spans="1:10" s="115" customFormat="1" ht="86.25" customHeight="1">
      <c r="A46" s="164">
        <f>MAX($A$15:A44)+1</f>
        <v>27</v>
      </c>
      <c r="B46" s="161"/>
      <c r="C46" s="139"/>
      <c r="D46" s="138" t="s">
        <v>380</v>
      </c>
      <c r="E46" s="145" t="s">
        <v>124</v>
      </c>
      <c r="F46" s="135">
        <v>1</v>
      </c>
      <c r="G46" s="256">
        <v>1</v>
      </c>
      <c r="H46" s="83"/>
      <c r="I46" s="192"/>
      <c r="J46" s="255"/>
    </row>
    <row r="47" spans="1:10" s="115" customFormat="1" ht="30" customHeight="1">
      <c r="A47" s="164">
        <f>MAX($A$15:A46)+1</f>
        <v>28</v>
      </c>
      <c r="B47" s="161"/>
      <c r="C47" s="139"/>
      <c r="D47" s="138" t="s">
        <v>364</v>
      </c>
      <c r="E47" s="145" t="s">
        <v>124</v>
      </c>
      <c r="F47" s="135">
        <v>2</v>
      </c>
      <c r="G47" s="256">
        <v>2</v>
      </c>
      <c r="H47" s="83"/>
      <c r="I47" s="192"/>
      <c r="J47" s="255"/>
    </row>
    <row r="48" spans="1:10">
      <c r="A48" s="95"/>
      <c r="B48" s="58"/>
      <c r="C48" s="59" t="s">
        <v>39</v>
      </c>
      <c r="D48" s="60" t="s">
        <v>40</v>
      </c>
      <c r="E48" s="61"/>
      <c r="F48" s="48"/>
      <c r="G48" s="44"/>
      <c r="H48" s="163"/>
      <c r="I48" s="190"/>
    </row>
    <row r="49" spans="1:11">
      <c r="A49" s="166"/>
      <c r="B49" s="129"/>
      <c r="C49" s="127" t="s">
        <v>55</v>
      </c>
      <c r="D49" s="110" t="s">
        <v>82</v>
      </c>
      <c r="E49" s="155"/>
      <c r="F49" s="73"/>
      <c r="G49" s="167"/>
      <c r="H49" s="23"/>
      <c r="I49" s="193"/>
    </row>
    <row r="50" spans="1:11" ht="45">
      <c r="A50" s="164">
        <f>MAX($A$14:A49)+1</f>
        <v>29</v>
      </c>
      <c r="B50" s="133"/>
      <c r="C50" s="132"/>
      <c r="D50" s="138" t="s">
        <v>248</v>
      </c>
      <c r="E50" s="144" t="s">
        <v>30</v>
      </c>
      <c r="F50" s="171" t="s">
        <v>249</v>
      </c>
      <c r="G50" s="169">
        <f>2*4.5*1.6*10</f>
        <v>144</v>
      </c>
      <c r="H50" s="23"/>
      <c r="I50" s="193"/>
    </row>
    <row r="51" spans="1:11" s="115" customFormat="1">
      <c r="A51" s="164">
        <f>MAX($A$14:A50)+1</f>
        <v>30</v>
      </c>
      <c r="B51" s="133"/>
      <c r="C51" s="132"/>
      <c r="D51" s="138" t="s">
        <v>274</v>
      </c>
      <c r="E51" s="144" t="s">
        <v>124</v>
      </c>
      <c r="F51" s="171">
        <v>4</v>
      </c>
      <c r="G51" s="169">
        <v>4</v>
      </c>
      <c r="H51" s="23"/>
      <c r="I51" s="193"/>
      <c r="J51" s="237"/>
    </row>
    <row r="52" spans="1:11" s="115" customFormat="1">
      <c r="A52" s="164">
        <f>MAX($A$14:A51)+1</f>
        <v>31</v>
      </c>
      <c r="B52" s="133"/>
      <c r="C52" s="132"/>
      <c r="D52" s="138" t="s">
        <v>191</v>
      </c>
      <c r="E52" s="144" t="s">
        <v>124</v>
      </c>
      <c r="F52" s="171">
        <v>4</v>
      </c>
      <c r="G52" s="169">
        <f>F52</f>
        <v>4</v>
      </c>
      <c r="H52" s="23"/>
      <c r="I52" s="193"/>
      <c r="J52" s="237"/>
    </row>
    <row r="53" spans="1:11" s="74" customFormat="1" ht="22.5">
      <c r="A53" s="165">
        <f>MAX($A$14:A52)+1</f>
        <v>32</v>
      </c>
      <c r="B53" s="148"/>
      <c r="C53" s="140"/>
      <c r="D53" s="153" t="s">
        <v>250</v>
      </c>
      <c r="E53" s="149" t="s">
        <v>124</v>
      </c>
      <c r="F53" s="72">
        <v>1</v>
      </c>
      <c r="G53" s="170">
        <f>F53</f>
        <v>1</v>
      </c>
      <c r="H53" s="122"/>
      <c r="I53" s="193"/>
      <c r="J53" s="237"/>
    </row>
    <row r="54" spans="1:11">
      <c r="A54" s="164"/>
      <c r="B54" s="146"/>
      <c r="C54" s="161" t="s">
        <v>60</v>
      </c>
      <c r="D54" s="112" t="s">
        <v>76</v>
      </c>
      <c r="E54" s="145"/>
      <c r="F54" s="107"/>
      <c r="G54" s="65"/>
      <c r="H54" s="55"/>
      <c r="I54" s="194"/>
    </row>
    <row r="55" spans="1:11" ht="15" customHeight="1">
      <c r="A55" s="164">
        <f>MAX($A$14:B54)+1</f>
        <v>33</v>
      </c>
      <c r="B55" s="133"/>
      <c r="C55" s="132"/>
      <c r="D55" s="138" t="s">
        <v>251</v>
      </c>
      <c r="E55" s="144" t="s">
        <v>124</v>
      </c>
      <c r="F55" s="171">
        <v>4</v>
      </c>
      <c r="G55" s="169">
        <f>F55</f>
        <v>4</v>
      </c>
      <c r="H55" s="122"/>
      <c r="I55" s="193"/>
      <c r="J55" s="240"/>
    </row>
    <row r="56" spans="1:11" s="74" customFormat="1" ht="45" customHeight="1">
      <c r="A56" s="164">
        <f>MAX($A$14:B55)+1</f>
        <v>34</v>
      </c>
      <c r="B56" s="133"/>
      <c r="C56" s="132"/>
      <c r="D56" s="138" t="s">
        <v>252</v>
      </c>
      <c r="E56" s="144" t="s">
        <v>124</v>
      </c>
      <c r="F56" s="171">
        <v>1</v>
      </c>
      <c r="G56" s="169">
        <f>F56</f>
        <v>1</v>
      </c>
      <c r="H56" s="122"/>
      <c r="I56" s="193"/>
      <c r="J56" s="237"/>
      <c r="K56" s="115"/>
    </row>
    <row r="57" spans="1:11" s="74" customFormat="1">
      <c r="A57" s="165">
        <f>MAX($A$14:B56)+1</f>
        <v>35</v>
      </c>
      <c r="B57" s="148"/>
      <c r="C57" s="140"/>
      <c r="D57" s="153" t="s">
        <v>152</v>
      </c>
      <c r="E57" s="149" t="s">
        <v>124</v>
      </c>
      <c r="F57" s="72">
        <v>4</v>
      </c>
      <c r="G57" s="170">
        <f>F57</f>
        <v>4</v>
      </c>
      <c r="H57" s="122"/>
      <c r="I57" s="193"/>
      <c r="J57" s="237"/>
      <c r="K57" s="115"/>
    </row>
    <row r="58" spans="1:11" s="115" customFormat="1">
      <c r="A58" s="95"/>
      <c r="B58" s="58"/>
      <c r="C58" s="59" t="s">
        <v>153</v>
      </c>
      <c r="D58" s="7" t="s">
        <v>154</v>
      </c>
      <c r="E58" s="58"/>
      <c r="F58" s="51"/>
      <c r="G58" s="218"/>
      <c r="H58" s="122"/>
      <c r="I58" s="193"/>
      <c r="J58" s="238"/>
      <c r="K58" s="217"/>
    </row>
    <row r="59" spans="1:11" s="115" customFormat="1">
      <c r="A59" s="200"/>
      <c r="B59" s="125"/>
      <c r="C59" s="161" t="s">
        <v>155</v>
      </c>
      <c r="D59" s="110" t="s">
        <v>156</v>
      </c>
      <c r="E59" s="219"/>
      <c r="F59" s="220"/>
      <c r="G59" s="221"/>
      <c r="H59" s="122"/>
      <c r="I59" s="193"/>
      <c r="J59" s="238"/>
      <c r="K59" s="217"/>
    </row>
    <row r="60" spans="1:11" s="115" customFormat="1" ht="30" customHeight="1">
      <c r="A60" s="200">
        <f>MAX(A$14:$A59)+1</f>
        <v>36</v>
      </c>
      <c r="B60" s="119"/>
      <c r="C60" s="132"/>
      <c r="D60" s="138" t="s">
        <v>253</v>
      </c>
      <c r="E60" s="135" t="s">
        <v>31</v>
      </c>
      <c r="F60" s="173" t="s">
        <v>382</v>
      </c>
      <c r="G60" s="221">
        <f>7.8+7.6+2.8+3</f>
        <v>21.2</v>
      </c>
      <c r="H60" s="122"/>
      <c r="I60" s="193"/>
      <c r="J60" s="238"/>
      <c r="K60" s="217"/>
    </row>
    <row r="61" spans="1:11" s="115" customFormat="1">
      <c r="A61" s="165">
        <f>MAX($A$14:A60)+1</f>
        <v>37</v>
      </c>
      <c r="B61" s="222"/>
      <c r="C61" s="87"/>
      <c r="D61" s="153" t="s">
        <v>158</v>
      </c>
      <c r="E61" s="136" t="s">
        <v>32</v>
      </c>
      <c r="F61" s="172">
        <v>2</v>
      </c>
      <c r="G61" s="170">
        <f>F61</f>
        <v>2</v>
      </c>
      <c r="H61" s="122"/>
      <c r="I61" s="193"/>
      <c r="J61" s="238"/>
      <c r="K61" s="217"/>
    </row>
    <row r="62" spans="1:11" s="115" customFormat="1">
      <c r="A62" s="200"/>
      <c r="B62" s="223"/>
      <c r="C62" s="21" t="s">
        <v>159</v>
      </c>
      <c r="D62" s="126" t="s">
        <v>157</v>
      </c>
      <c r="E62" s="135"/>
      <c r="F62" s="224"/>
      <c r="G62" s="221"/>
      <c r="H62" s="122"/>
      <c r="I62" s="193"/>
      <c r="J62" s="238"/>
      <c r="K62" s="217"/>
    </row>
    <row r="63" spans="1:11" s="115" customFormat="1" ht="45" customHeight="1">
      <c r="A63" s="164">
        <f>MAX($A$14:A62)+1</f>
        <v>38</v>
      </c>
      <c r="B63" s="223"/>
      <c r="C63" s="161"/>
      <c r="D63" s="138" t="s">
        <v>296</v>
      </c>
      <c r="E63" s="117" t="s">
        <v>32</v>
      </c>
      <c r="F63" s="173">
        <v>2</v>
      </c>
      <c r="G63" s="169">
        <f>F63</f>
        <v>2</v>
      </c>
      <c r="H63" s="122"/>
      <c r="I63" s="193"/>
      <c r="J63" s="238"/>
      <c r="K63" s="217"/>
    </row>
    <row r="64" spans="1:11" s="115" customFormat="1" ht="45" customHeight="1">
      <c r="A64" s="165">
        <f>MAX($A$14:A63)+1</f>
        <v>39</v>
      </c>
      <c r="B64" s="222"/>
      <c r="C64" s="87"/>
      <c r="D64" s="153" t="s">
        <v>297</v>
      </c>
      <c r="E64" s="225" t="s">
        <v>32</v>
      </c>
      <c r="F64" s="172">
        <v>2</v>
      </c>
      <c r="G64" s="170">
        <f>F64</f>
        <v>2</v>
      </c>
      <c r="H64" s="122"/>
      <c r="I64" s="193"/>
      <c r="J64" s="238"/>
      <c r="K64" s="217"/>
    </row>
    <row r="65" spans="1:11">
      <c r="A65" s="95"/>
      <c r="B65" s="58"/>
      <c r="C65" s="59" t="s">
        <v>43</v>
      </c>
      <c r="D65" s="7" t="s">
        <v>44</v>
      </c>
      <c r="E65" s="3"/>
      <c r="F65" s="48"/>
      <c r="G65" s="44"/>
      <c r="H65" s="26"/>
      <c r="I65" s="191"/>
    </row>
    <row r="66" spans="1:11" s="74" customFormat="1" ht="30">
      <c r="A66" s="164"/>
      <c r="B66" s="18"/>
      <c r="C66" s="21" t="s">
        <v>160</v>
      </c>
      <c r="D66" s="22" t="s">
        <v>192</v>
      </c>
      <c r="E66" s="145"/>
      <c r="F66" s="107"/>
      <c r="G66" s="69"/>
      <c r="H66" s="26"/>
      <c r="I66" s="191"/>
      <c r="J66" s="237"/>
      <c r="K66" s="115"/>
    </row>
    <row r="67" spans="1:11" s="74" customFormat="1" ht="22.5">
      <c r="A67" s="165">
        <f>MAX($A$14:A65)+1</f>
        <v>40</v>
      </c>
      <c r="B67" s="84"/>
      <c r="C67" s="87"/>
      <c r="D67" s="153" t="s">
        <v>381</v>
      </c>
      <c r="E67" s="99" t="s">
        <v>34</v>
      </c>
      <c r="F67" s="172" t="s">
        <v>254</v>
      </c>
      <c r="G67" s="103">
        <f>12.1*(44.94-2*1-13.4)+2*3*10</f>
        <v>417.43399999999997</v>
      </c>
      <c r="H67" s="26"/>
      <c r="I67" s="191"/>
      <c r="J67" s="237"/>
      <c r="K67" s="115"/>
    </row>
    <row r="68" spans="1:11" ht="30">
      <c r="A68" s="166"/>
      <c r="B68" s="266"/>
      <c r="C68" s="267" t="s">
        <v>66</v>
      </c>
      <c r="D68" s="268" t="s">
        <v>215</v>
      </c>
      <c r="E68" s="155"/>
      <c r="F68" s="73"/>
      <c r="G68" s="70"/>
      <c r="H68" s="26"/>
      <c r="I68" s="191"/>
    </row>
    <row r="69" spans="1:11" ht="30" customHeight="1">
      <c r="A69" s="164">
        <f>MAX($A$14:A67)+1</f>
        <v>41</v>
      </c>
      <c r="B69" s="18"/>
      <c r="C69" s="161"/>
      <c r="D69" s="138" t="s">
        <v>193</v>
      </c>
      <c r="E69" s="145" t="s">
        <v>34</v>
      </c>
      <c r="F69" s="173" t="s">
        <v>256</v>
      </c>
      <c r="G69" s="69">
        <f>6.35*(7+7.4)</f>
        <v>91.44</v>
      </c>
      <c r="H69" s="26"/>
      <c r="I69" s="191"/>
    </row>
    <row r="70" spans="1:11" s="115" customFormat="1" ht="30" customHeight="1">
      <c r="A70" s="164">
        <f>MAX($A$14:A69)+1</f>
        <v>42</v>
      </c>
      <c r="B70" s="84"/>
      <c r="C70" s="161"/>
      <c r="D70" s="151" t="s">
        <v>261</v>
      </c>
      <c r="E70" s="145" t="s">
        <v>34</v>
      </c>
      <c r="F70" s="107" t="s">
        <v>262</v>
      </c>
      <c r="G70" s="69">
        <f>17.5+29+19+1</f>
        <v>66.5</v>
      </c>
      <c r="H70" s="77"/>
      <c r="I70" s="252"/>
      <c r="J70" s="253"/>
      <c r="K70" s="217"/>
    </row>
    <row r="71" spans="1:11" s="115" customFormat="1" ht="30" customHeight="1">
      <c r="A71" s="165">
        <f>MAX($A$14:A70)+1</f>
        <v>43</v>
      </c>
      <c r="B71" s="84"/>
      <c r="C71" s="87"/>
      <c r="D71" s="154" t="s">
        <v>263</v>
      </c>
      <c r="E71" s="99" t="s">
        <v>34</v>
      </c>
      <c r="F71" s="262" t="s">
        <v>264</v>
      </c>
      <c r="G71" s="103">
        <f>4.2+11.2+8.4+10</f>
        <v>33.799999999999997</v>
      </c>
      <c r="H71" s="77"/>
      <c r="I71" s="252"/>
      <c r="J71" s="253"/>
      <c r="K71" s="217"/>
    </row>
    <row r="72" spans="1:11" ht="30">
      <c r="A72" s="166"/>
      <c r="B72" s="129"/>
      <c r="C72" s="127" t="s">
        <v>81</v>
      </c>
      <c r="D72" s="126" t="s">
        <v>146</v>
      </c>
      <c r="E72" s="130"/>
      <c r="F72" s="75"/>
      <c r="G72" s="167"/>
      <c r="H72" s="28"/>
      <c r="I72" s="189"/>
    </row>
    <row r="73" spans="1:11" ht="22.5">
      <c r="A73" s="164">
        <f>MAX($A$14:A72)+1</f>
        <v>44</v>
      </c>
      <c r="B73" s="146"/>
      <c r="C73" s="139"/>
      <c r="D73" s="138" t="s">
        <v>121</v>
      </c>
      <c r="E73" s="135" t="s">
        <v>34</v>
      </c>
      <c r="F73" s="173" t="s">
        <v>255</v>
      </c>
      <c r="G73" s="69">
        <f>6.85*(7+7.5)</f>
        <v>99.324999999999989</v>
      </c>
      <c r="H73" s="122"/>
      <c r="I73" s="193"/>
    </row>
    <row r="74" spans="1:11" ht="30">
      <c r="A74" s="166"/>
      <c r="B74" s="19"/>
      <c r="C74" s="142" t="s">
        <v>64</v>
      </c>
      <c r="D74" s="14" t="s">
        <v>65</v>
      </c>
      <c r="E74" s="155"/>
      <c r="F74" s="73"/>
      <c r="G74" s="66"/>
      <c r="H74" s="122"/>
      <c r="I74" s="193"/>
    </row>
    <row r="75" spans="1:11" ht="22.5">
      <c r="A75" s="164">
        <f>MAX($A$14:A74)+1</f>
        <v>45</v>
      </c>
      <c r="B75" s="133"/>
      <c r="C75" s="132"/>
      <c r="D75" s="138" t="s">
        <v>80</v>
      </c>
      <c r="E75" s="135" t="s">
        <v>34</v>
      </c>
      <c r="F75" s="173" t="s">
        <v>256</v>
      </c>
      <c r="G75" s="69">
        <f>6.35*(7+7.4)</f>
        <v>91.44</v>
      </c>
      <c r="H75" s="122"/>
      <c r="I75" s="193"/>
    </row>
    <row r="76" spans="1:11" ht="22.5">
      <c r="A76" s="164">
        <f>MAX($A$14:A75)+1</f>
        <v>46</v>
      </c>
      <c r="B76" s="133"/>
      <c r="C76" s="132"/>
      <c r="D76" s="138" t="s">
        <v>86</v>
      </c>
      <c r="E76" s="135" t="s">
        <v>34</v>
      </c>
      <c r="F76" s="173" t="s">
        <v>255</v>
      </c>
      <c r="G76" s="69">
        <f>6.85*(7+7.5)</f>
        <v>99.324999999999989</v>
      </c>
      <c r="H76" s="122"/>
      <c r="I76" s="193"/>
    </row>
    <row r="77" spans="1:11" ht="22.5">
      <c r="A77" s="164">
        <f>MAX($A$14:A76)+1</f>
        <v>47</v>
      </c>
      <c r="B77" s="133"/>
      <c r="C77" s="132"/>
      <c r="D77" s="138" t="s">
        <v>102</v>
      </c>
      <c r="E77" s="135" t="s">
        <v>34</v>
      </c>
      <c r="F77" s="173" t="s">
        <v>257</v>
      </c>
      <c r="G77" s="169">
        <f>10*6.4+11.5*8.4</f>
        <v>160.60000000000002</v>
      </c>
      <c r="H77" s="122"/>
      <c r="I77" s="193"/>
    </row>
    <row r="78" spans="1:11" ht="22.5">
      <c r="A78" s="164">
        <f>MAX($A$14:A77)+1</f>
        <v>48</v>
      </c>
      <c r="B78" s="133"/>
      <c r="C78" s="132"/>
      <c r="D78" s="138" t="s">
        <v>103</v>
      </c>
      <c r="E78" s="135" t="s">
        <v>34</v>
      </c>
      <c r="F78" s="82" t="s">
        <v>384</v>
      </c>
      <c r="G78" s="169">
        <f>21.6*6.7+8.8*6.4+11.9*7.5</f>
        <v>290.29000000000002</v>
      </c>
      <c r="H78" s="20"/>
      <c r="I78" s="44"/>
    </row>
    <row r="79" spans="1:11" s="115" customFormat="1" ht="30">
      <c r="A79" s="166"/>
      <c r="B79" s="19"/>
      <c r="C79" s="142" t="s">
        <v>162</v>
      </c>
      <c r="D79" s="14" t="s">
        <v>163</v>
      </c>
      <c r="E79" s="155"/>
      <c r="F79" s="16"/>
      <c r="G79" s="101"/>
      <c r="H79" s="20"/>
      <c r="I79" s="44"/>
      <c r="J79" s="237"/>
    </row>
    <row r="80" spans="1:11" s="115" customFormat="1" ht="33.75">
      <c r="A80" s="164">
        <f>MAX($A$13:A79)+1</f>
        <v>49</v>
      </c>
      <c r="B80" s="133"/>
      <c r="C80" s="132"/>
      <c r="D80" s="138" t="s">
        <v>164</v>
      </c>
      <c r="E80" s="135" t="s">
        <v>34</v>
      </c>
      <c r="F80" s="172" t="s">
        <v>383</v>
      </c>
      <c r="G80" s="170">
        <f>1*(6.4+7.8)</f>
        <v>14.2</v>
      </c>
      <c r="H80" s="20"/>
      <c r="I80" s="44"/>
      <c r="J80" s="237"/>
    </row>
    <row r="81" spans="1:12">
      <c r="A81" s="95"/>
      <c r="B81" s="58"/>
      <c r="C81" s="59" t="s">
        <v>41</v>
      </c>
      <c r="D81" s="7" t="s">
        <v>42</v>
      </c>
      <c r="E81" s="3"/>
      <c r="F81" s="48"/>
      <c r="G81" s="44"/>
      <c r="H81" s="29"/>
      <c r="I81" s="195"/>
    </row>
    <row r="82" spans="1:12" ht="30">
      <c r="A82" s="166"/>
      <c r="B82" s="133"/>
      <c r="C82" s="127" t="s">
        <v>116</v>
      </c>
      <c r="D82" s="126" t="s">
        <v>144</v>
      </c>
      <c r="E82" s="130"/>
      <c r="F82" s="75"/>
      <c r="G82" s="167"/>
      <c r="H82" s="28"/>
      <c r="I82" s="189"/>
    </row>
    <row r="83" spans="1:12" ht="22.5">
      <c r="A83" s="165">
        <f>MAX($A$14:A81)+1</f>
        <v>50</v>
      </c>
      <c r="B83" s="146"/>
      <c r="C83" s="139"/>
      <c r="D83" s="151" t="s">
        <v>194</v>
      </c>
      <c r="E83" s="136" t="s">
        <v>34</v>
      </c>
      <c r="F83" s="172" t="s">
        <v>385</v>
      </c>
      <c r="G83" s="170">
        <f>15.3*6.4+21.3*7+16.4*8.2</f>
        <v>381.5</v>
      </c>
      <c r="H83" s="28"/>
      <c r="I83" s="189"/>
    </row>
    <row r="84" spans="1:12" s="74" customFormat="1" ht="30">
      <c r="A84" s="164"/>
      <c r="B84" s="146"/>
      <c r="C84" s="127" t="s">
        <v>117</v>
      </c>
      <c r="D84" s="126" t="s">
        <v>145</v>
      </c>
      <c r="E84" s="135"/>
      <c r="F84" s="173"/>
      <c r="G84" s="169"/>
      <c r="H84" s="28"/>
      <c r="I84" s="189"/>
      <c r="J84" s="237"/>
    </row>
    <row r="85" spans="1:12" s="115" customFormat="1" ht="22.5">
      <c r="A85" s="164">
        <f>MAX($A$14:A83)+1</f>
        <v>51</v>
      </c>
      <c r="B85" s="146"/>
      <c r="C85" s="139"/>
      <c r="D85" s="151" t="s">
        <v>161</v>
      </c>
      <c r="E85" s="135" t="s">
        <v>34</v>
      </c>
      <c r="F85" s="173" t="s">
        <v>387</v>
      </c>
      <c r="G85" s="169">
        <f>4.5*6.4+7.23*7+7.23*7.3 +5.5*8.5</f>
        <v>178.93899999999999</v>
      </c>
      <c r="H85" s="28"/>
      <c r="I85" s="189"/>
      <c r="J85" s="237"/>
    </row>
    <row r="86" spans="1:12" ht="22.5">
      <c r="A86" s="165">
        <f>MAX($A$14:A85)+1</f>
        <v>52</v>
      </c>
      <c r="B86" s="216"/>
      <c r="C86" s="215"/>
      <c r="D86" s="151" t="s">
        <v>195</v>
      </c>
      <c r="E86" s="136" t="s">
        <v>34</v>
      </c>
      <c r="F86" s="172" t="s">
        <v>386</v>
      </c>
      <c r="G86" s="170">
        <f>18.3*7</f>
        <v>128.1</v>
      </c>
      <c r="H86" s="27"/>
      <c r="I86" s="189"/>
    </row>
    <row r="87" spans="1:12">
      <c r="A87" s="95"/>
      <c r="B87" s="58"/>
      <c r="C87" s="59" t="s">
        <v>45</v>
      </c>
      <c r="D87" s="7" t="s">
        <v>147</v>
      </c>
      <c r="E87" s="3"/>
      <c r="F87" s="48"/>
      <c r="G87" s="44"/>
      <c r="H87" s="162"/>
      <c r="I87" s="190"/>
    </row>
    <row r="88" spans="1:12" ht="30">
      <c r="A88" s="96"/>
      <c r="B88" s="9"/>
      <c r="C88" s="127" t="s">
        <v>46</v>
      </c>
      <c r="D88" s="126" t="s">
        <v>118</v>
      </c>
      <c r="E88" s="10"/>
      <c r="F88" s="49"/>
      <c r="G88" s="45"/>
      <c r="H88" s="27"/>
      <c r="I88" s="189"/>
      <c r="L88" s="109"/>
    </row>
    <row r="89" spans="1:12" ht="30" customHeight="1">
      <c r="A89" s="164">
        <f>MAX($A$14:A88)+1</f>
        <v>53</v>
      </c>
      <c r="B89" s="133"/>
      <c r="C89" s="132"/>
      <c r="D89" s="137" t="s">
        <v>258</v>
      </c>
      <c r="E89" s="135" t="s">
        <v>34</v>
      </c>
      <c r="F89" s="173" t="s">
        <v>259</v>
      </c>
      <c r="G89" s="169">
        <f>1.2*(7.7*4.5+11.3*3.5+14.6*3.6+2.1*4)</f>
        <v>162.19199999999998</v>
      </c>
      <c r="H89" s="23"/>
      <c r="I89" s="193"/>
    </row>
    <row r="90" spans="1:12">
      <c r="A90" s="166"/>
      <c r="B90" s="129"/>
      <c r="C90" s="127" t="s">
        <v>57</v>
      </c>
      <c r="D90" s="126" t="s">
        <v>54</v>
      </c>
      <c r="E90" s="130"/>
      <c r="F90" s="75"/>
      <c r="G90" s="167"/>
      <c r="H90" s="23"/>
      <c r="I90" s="193"/>
    </row>
    <row r="91" spans="1:12" ht="45" customHeight="1">
      <c r="A91" s="164">
        <f>MAX($A$14:A90)+1</f>
        <v>54</v>
      </c>
      <c r="B91" s="133"/>
      <c r="C91" s="132"/>
      <c r="D91" s="137" t="s">
        <v>282</v>
      </c>
      <c r="E91" s="135" t="s">
        <v>31</v>
      </c>
      <c r="F91" s="173" t="s">
        <v>260</v>
      </c>
      <c r="G91" s="169">
        <f>1.2*(7.4+4.4)</f>
        <v>14.16</v>
      </c>
      <c r="H91" s="23"/>
      <c r="I91" s="193"/>
    </row>
    <row r="92" spans="1:12">
      <c r="A92" s="89"/>
      <c r="B92" s="58"/>
      <c r="C92" s="59" t="s">
        <v>49</v>
      </c>
      <c r="D92" s="7" t="s">
        <v>50</v>
      </c>
      <c r="E92" s="13"/>
      <c r="F92" s="50"/>
      <c r="G92" s="46"/>
      <c r="H92" s="23"/>
      <c r="I92" s="193"/>
    </row>
    <row r="93" spans="1:12">
      <c r="A93" s="166"/>
      <c r="B93" s="129"/>
      <c r="C93" s="127" t="s">
        <v>104</v>
      </c>
      <c r="D93" s="14" t="s">
        <v>105</v>
      </c>
      <c r="E93" s="152"/>
      <c r="F93" s="81"/>
      <c r="G93" s="66"/>
      <c r="H93" s="23"/>
      <c r="I93" s="193"/>
    </row>
    <row r="94" spans="1:12" s="74" customFormat="1">
      <c r="A94" s="164">
        <f>MAX(A$14:$B93)+1</f>
        <v>55</v>
      </c>
      <c r="B94" s="18"/>
      <c r="C94" s="161"/>
      <c r="D94" s="138" t="s">
        <v>106</v>
      </c>
      <c r="E94" s="144" t="s">
        <v>34</v>
      </c>
      <c r="F94" s="174" t="s">
        <v>265</v>
      </c>
      <c r="G94" s="169">
        <f>53.5*0.24</f>
        <v>12.84</v>
      </c>
      <c r="H94" s="23"/>
      <c r="I94" s="193"/>
      <c r="J94" s="237"/>
      <c r="K94" s="115"/>
      <c r="L94" s="115"/>
    </row>
    <row r="95" spans="1:12" s="74" customFormat="1">
      <c r="A95" s="164">
        <f>MAX($A$14:A94)+1</f>
        <v>56</v>
      </c>
      <c r="B95" s="133"/>
      <c r="C95" s="132"/>
      <c r="D95" s="138" t="s">
        <v>266</v>
      </c>
      <c r="E95" s="135" t="s">
        <v>34</v>
      </c>
      <c r="F95" s="173" t="s">
        <v>267</v>
      </c>
      <c r="G95" s="169">
        <f>107.5*0.12</f>
        <v>12.9</v>
      </c>
      <c r="H95" s="23"/>
      <c r="I95" s="193"/>
      <c r="J95" s="237"/>
      <c r="K95" s="115"/>
      <c r="L95" s="115"/>
    </row>
    <row r="96" spans="1:12" s="115" customFormat="1">
      <c r="A96" s="165">
        <f>MAX(A$14:$A95)+1</f>
        <v>57</v>
      </c>
      <c r="B96" s="84"/>
      <c r="C96" s="87"/>
      <c r="D96" s="153" t="s">
        <v>165</v>
      </c>
      <c r="E96" s="149" t="s">
        <v>32</v>
      </c>
      <c r="F96" s="175">
        <v>7</v>
      </c>
      <c r="G96" s="170">
        <f>F96</f>
        <v>7</v>
      </c>
      <c r="H96" s="23"/>
      <c r="I96" s="193"/>
      <c r="J96" s="237"/>
    </row>
    <row r="97" spans="1:10" s="74" customFormat="1">
      <c r="A97" s="166"/>
      <c r="B97" s="129"/>
      <c r="C97" s="127" t="s">
        <v>51</v>
      </c>
      <c r="D97" s="14" t="s">
        <v>89</v>
      </c>
      <c r="E97" s="152"/>
      <c r="F97" s="81"/>
      <c r="G97" s="66"/>
      <c r="H97" s="23"/>
      <c r="I97" s="193"/>
      <c r="J97" s="237"/>
    </row>
    <row r="98" spans="1:10" s="74" customFormat="1" ht="123.75">
      <c r="A98" s="165">
        <f>MAX(A$14:$A97)+1</f>
        <v>58</v>
      </c>
      <c r="B98" s="148"/>
      <c r="C98" s="140"/>
      <c r="D98" s="153" t="s">
        <v>388</v>
      </c>
      <c r="E98" s="149" t="s">
        <v>124</v>
      </c>
      <c r="F98" s="175">
        <v>1</v>
      </c>
      <c r="G98" s="170">
        <v>1</v>
      </c>
      <c r="H98" s="23"/>
      <c r="I98" s="193"/>
      <c r="J98" s="237"/>
    </row>
    <row r="99" spans="1:10">
      <c r="A99" s="166"/>
      <c r="B99" s="129"/>
      <c r="C99" s="127" t="s">
        <v>52</v>
      </c>
      <c r="D99" s="14" t="s">
        <v>70</v>
      </c>
      <c r="E99" s="130"/>
      <c r="F99" s="75"/>
      <c r="G99" s="167"/>
      <c r="H99" s="23"/>
      <c r="I99" s="193"/>
    </row>
    <row r="100" spans="1:10" s="115" customFormat="1" ht="33.75">
      <c r="A100" s="164">
        <f>MAX($A$14:A98)+1</f>
        <v>59</v>
      </c>
      <c r="B100" s="133"/>
      <c r="C100" s="132"/>
      <c r="D100" s="138" t="s">
        <v>268</v>
      </c>
      <c r="E100" s="144" t="s">
        <v>31</v>
      </c>
      <c r="F100" s="171" t="s">
        <v>247</v>
      </c>
      <c r="G100" s="169">
        <f>2*8+12+15.5</f>
        <v>43.5</v>
      </c>
      <c r="H100" s="23"/>
      <c r="I100" s="193"/>
      <c r="J100" s="237"/>
    </row>
    <row r="101" spans="1:10" s="74" customFormat="1" ht="15" customHeight="1">
      <c r="A101" s="165">
        <f>MAX($A$14:A100)+1</f>
        <v>60</v>
      </c>
      <c r="B101" s="148"/>
      <c r="C101" s="140"/>
      <c r="D101" s="153" t="s">
        <v>399</v>
      </c>
      <c r="E101" s="149" t="s">
        <v>31</v>
      </c>
      <c r="F101" s="72" t="s">
        <v>269</v>
      </c>
      <c r="G101" s="170">
        <f>2*24.4</f>
        <v>48.8</v>
      </c>
      <c r="H101" s="23"/>
      <c r="I101" s="193"/>
      <c r="J101" s="237"/>
    </row>
    <row r="102" spans="1:10">
      <c r="A102" s="95"/>
      <c r="B102" s="58"/>
      <c r="C102" s="59" t="s">
        <v>47</v>
      </c>
      <c r="D102" s="7" t="s">
        <v>48</v>
      </c>
      <c r="E102" s="3"/>
      <c r="F102" s="48"/>
      <c r="G102" s="44"/>
      <c r="H102" s="23"/>
      <c r="I102" s="193"/>
    </row>
    <row r="103" spans="1:10">
      <c r="A103" s="166"/>
      <c r="B103" s="129"/>
      <c r="C103" s="127" t="s">
        <v>101</v>
      </c>
      <c r="D103" s="14" t="s">
        <v>100</v>
      </c>
      <c r="E103" s="130"/>
      <c r="F103" s="75"/>
      <c r="G103" s="167"/>
      <c r="H103" s="23"/>
      <c r="I103" s="193"/>
    </row>
    <row r="104" spans="1:10" s="115" customFormat="1" ht="22.5">
      <c r="A104" s="164">
        <f>MAX($A$14:A102)+1</f>
        <v>61</v>
      </c>
      <c r="B104" s="133"/>
      <c r="C104" s="132"/>
      <c r="D104" s="138" t="s">
        <v>196</v>
      </c>
      <c r="E104" s="144" t="s">
        <v>31</v>
      </c>
      <c r="F104" s="72" t="s">
        <v>270</v>
      </c>
      <c r="G104" s="63">
        <f>6.3+5.5+7.8+7.8</f>
        <v>27.400000000000002</v>
      </c>
      <c r="H104" s="23"/>
      <c r="I104" s="193"/>
      <c r="J104" s="237"/>
    </row>
    <row r="105" spans="1:10" s="115" customFormat="1">
      <c r="A105" s="166"/>
      <c r="B105" s="263"/>
      <c r="C105" s="127" t="s">
        <v>367</v>
      </c>
      <c r="D105" s="14" t="s">
        <v>368</v>
      </c>
      <c r="E105" s="130"/>
      <c r="F105" s="171"/>
      <c r="G105" s="168"/>
      <c r="H105" s="122"/>
      <c r="I105" s="193"/>
      <c r="J105" s="237"/>
    </row>
    <row r="106" spans="1:10" s="115" customFormat="1" ht="22.5">
      <c r="A106" s="165">
        <f>MAX($A$14:A105)+1</f>
        <v>62</v>
      </c>
      <c r="B106" s="264"/>
      <c r="C106" s="140"/>
      <c r="D106" s="153" t="s">
        <v>369</v>
      </c>
      <c r="E106" s="149" t="s">
        <v>34</v>
      </c>
      <c r="F106" s="171" t="s">
        <v>370</v>
      </c>
      <c r="G106" s="168">
        <f>2*2.1+3.9*2.2+5.4*2.2+3.8*2.6</f>
        <v>34.540000000000006</v>
      </c>
      <c r="H106" s="122"/>
      <c r="I106" s="193"/>
      <c r="J106" s="237"/>
    </row>
    <row r="107" spans="1:10">
      <c r="A107" s="166"/>
      <c r="B107" s="129"/>
      <c r="C107" s="127" t="s">
        <v>53</v>
      </c>
      <c r="D107" s="14" t="s">
        <v>83</v>
      </c>
      <c r="E107" s="130"/>
      <c r="F107" s="75"/>
      <c r="G107" s="167"/>
      <c r="H107" s="163"/>
      <c r="I107" s="190"/>
    </row>
    <row r="108" spans="1:10" ht="22.5">
      <c r="A108" s="164">
        <f>MAX($A$14:A107)+1</f>
        <v>63</v>
      </c>
      <c r="B108" s="133"/>
      <c r="C108" s="132"/>
      <c r="D108" s="138" t="s">
        <v>271</v>
      </c>
      <c r="E108" s="135" t="s">
        <v>31</v>
      </c>
      <c r="F108" s="173" t="s">
        <v>272</v>
      </c>
      <c r="G108" s="169">
        <f>1.2*(4.3+3.8+3.8+3.7)+2+2.9+1.9+4.3+2.4</f>
        <v>32.219999999999992</v>
      </c>
      <c r="H108" s="163"/>
      <c r="I108" s="190"/>
    </row>
    <row r="109" spans="1:10" s="74" customFormat="1">
      <c r="A109" s="166"/>
      <c r="B109" s="129"/>
      <c r="C109" s="127" t="s">
        <v>125</v>
      </c>
      <c r="D109" s="126" t="s">
        <v>329</v>
      </c>
      <c r="E109" s="130"/>
      <c r="F109" s="75"/>
      <c r="G109" s="167"/>
      <c r="H109" s="163"/>
      <c r="I109" s="190"/>
      <c r="J109" s="237"/>
    </row>
    <row r="110" spans="1:10" s="74" customFormat="1" ht="22.5">
      <c r="A110" s="165">
        <f>MAX($A$15:A109)+1</f>
        <v>64</v>
      </c>
      <c r="B110" s="148"/>
      <c r="C110" s="140"/>
      <c r="D110" s="153" t="s">
        <v>328</v>
      </c>
      <c r="E110" s="149" t="s">
        <v>31</v>
      </c>
      <c r="F110" s="72" t="s">
        <v>273</v>
      </c>
      <c r="G110" s="63">
        <f>5.5+2.1</f>
        <v>7.6</v>
      </c>
      <c r="H110" s="163"/>
      <c r="I110" s="190"/>
      <c r="J110" s="237"/>
    </row>
    <row r="111" spans="1:10" ht="15" customHeight="1">
      <c r="A111" s="86"/>
      <c r="B111" s="58"/>
      <c r="C111" s="59" t="s">
        <v>87</v>
      </c>
      <c r="D111" s="8" t="s">
        <v>88</v>
      </c>
      <c r="E111" s="58"/>
      <c r="F111" s="51"/>
      <c r="G111" s="44"/>
      <c r="H111" s="163"/>
      <c r="I111" s="190"/>
    </row>
    <row r="112" spans="1:10" s="74" customFormat="1" ht="30">
      <c r="A112" s="164"/>
      <c r="B112" s="133"/>
      <c r="C112" s="67" t="s">
        <v>126</v>
      </c>
      <c r="D112" s="126" t="s">
        <v>127</v>
      </c>
      <c r="E112" s="144"/>
      <c r="F112" s="144"/>
      <c r="G112" s="101"/>
      <c r="H112" s="163"/>
      <c r="I112" s="196"/>
      <c r="J112" s="241"/>
    </row>
    <row r="113" spans="1:10" s="74" customFormat="1" ht="22.5">
      <c r="A113" s="165">
        <f>MAX($A$14:A112)+1</f>
        <v>65</v>
      </c>
      <c r="B113" s="148"/>
      <c r="C113" s="227"/>
      <c r="D113" s="143" t="s">
        <v>166</v>
      </c>
      <c r="E113" s="149" t="s">
        <v>30</v>
      </c>
      <c r="F113" s="72" t="s">
        <v>275</v>
      </c>
      <c r="G113" s="170">
        <f>4.4*1.2*(10+10.5)</f>
        <v>108.24000000000001</v>
      </c>
      <c r="H113" s="100"/>
      <c r="I113" s="197"/>
      <c r="J113" s="241"/>
    </row>
    <row r="114" spans="1:10" s="115" customFormat="1">
      <c r="A114" s="164"/>
      <c r="B114" s="133"/>
      <c r="C114" s="67" t="s">
        <v>167</v>
      </c>
      <c r="D114" s="147" t="s">
        <v>169</v>
      </c>
      <c r="E114" s="144"/>
      <c r="F114" s="144"/>
      <c r="G114" s="228"/>
      <c r="H114" s="226"/>
      <c r="I114" s="197"/>
      <c r="J114" s="242"/>
    </row>
    <row r="115" spans="1:10" s="115" customFormat="1" ht="147" customHeight="1">
      <c r="A115" s="165">
        <f>MAX($A$14:A114)+1</f>
        <v>66</v>
      </c>
      <c r="B115" s="148"/>
      <c r="C115" s="227"/>
      <c r="D115" s="143" t="s">
        <v>168</v>
      </c>
      <c r="E115" s="149" t="s">
        <v>124</v>
      </c>
      <c r="F115" s="72">
        <v>1</v>
      </c>
      <c r="G115" s="103">
        <v>1</v>
      </c>
      <c r="H115" s="226"/>
      <c r="I115" s="197"/>
      <c r="J115" s="241"/>
    </row>
    <row r="116" spans="1:10" ht="15" customHeight="1">
      <c r="A116" s="86"/>
      <c r="B116" s="58"/>
      <c r="C116" s="59" t="s">
        <v>3</v>
      </c>
      <c r="D116" s="8" t="s">
        <v>4</v>
      </c>
      <c r="E116" s="58"/>
      <c r="F116" s="51"/>
      <c r="G116" s="44"/>
      <c r="H116" s="23"/>
      <c r="I116" s="193"/>
    </row>
    <row r="117" spans="1:10">
      <c r="A117" s="164"/>
      <c r="B117" s="133"/>
      <c r="C117" s="132" t="s">
        <v>0</v>
      </c>
      <c r="D117" s="147" t="s">
        <v>197</v>
      </c>
      <c r="E117" s="144"/>
      <c r="F117" s="171"/>
      <c r="G117" s="168"/>
      <c r="H117" s="23"/>
      <c r="I117" s="193"/>
      <c r="J117" s="243"/>
    </row>
    <row r="118" spans="1:10">
      <c r="A118" s="164">
        <f>MAX($A$14:A117)+1</f>
        <v>67</v>
      </c>
      <c r="B118" s="133"/>
      <c r="C118" s="132"/>
      <c r="D118" s="137" t="s">
        <v>330</v>
      </c>
      <c r="E118" s="144" t="s">
        <v>33</v>
      </c>
      <c r="F118" s="173">
        <v>915.6</v>
      </c>
      <c r="G118" s="169">
        <f t="shared" ref="G118:G125" si="0">F118</f>
        <v>915.6</v>
      </c>
      <c r="H118" s="23"/>
      <c r="I118" s="193"/>
    </row>
    <row r="119" spans="1:10" s="74" customFormat="1">
      <c r="A119" s="164">
        <f>MAX($A$14:A118)+1</f>
        <v>68</v>
      </c>
      <c r="B119" s="133"/>
      <c r="C119" s="132"/>
      <c r="D119" s="137" t="s">
        <v>276</v>
      </c>
      <c r="E119" s="144" t="s">
        <v>33</v>
      </c>
      <c r="F119" s="173">
        <v>342.6</v>
      </c>
      <c r="G119" s="169">
        <f t="shared" si="0"/>
        <v>342.6</v>
      </c>
      <c r="H119" s="23"/>
      <c r="I119" s="193"/>
      <c r="J119" s="237"/>
    </row>
    <row r="120" spans="1:10">
      <c r="A120" s="164">
        <f>MAX($A$14:A119)+1</f>
        <v>69</v>
      </c>
      <c r="B120" s="133"/>
      <c r="C120" s="132"/>
      <c r="D120" s="137" t="s">
        <v>58</v>
      </c>
      <c r="E120" s="144" t="s">
        <v>33</v>
      </c>
      <c r="F120" s="173" t="s">
        <v>332</v>
      </c>
      <c r="G120" s="169">
        <f>1188.9+1234.5</f>
        <v>2423.4</v>
      </c>
      <c r="H120" s="23"/>
      <c r="I120" s="193"/>
    </row>
    <row r="121" spans="1:10" s="115" customFormat="1">
      <c r="A121" s="164">
        <f>MAX($A$14:A120)+1</f>
        <v>70</v>
      </c>
      <c r="B121" s="133"/>
      <c r="C121" s="132"/>
      <c r="D121" s="137" t="s">
        <v>331</v>
      </c>
      <c r="E121" s="144" t="s">
        <v>33</v>
      </c>
      <c r="F121" s="173">
        <v>3784.2</v>
      </c>
      <c r="G121" s="169">
        <f t="shared" si="0"/>
        <v>3784.2</v>
      </c>
      <c r="H121" s="122"/>
      <c r="I121" s="187"/>
      <c r="J121" s="237"/>
    </row>
    <row r="122" spans="1:10" s="115" customFormat="1">
      <c r="A122" s="164">
        <f>MAX($A$14:A121)+1</f>
        <v>71</v>
      </c>
      <c r="B122" s="133"/>
      <c r="C122" s="132"/>
      <c r="D122" s="137" t="s">
        <v>277</v>
      </c>
      <c r="E122" s="144" t="s">
        <v>33</v>
      </c>
      <c r="F122" s="173">
        <v>2349.3000000000002</v>
      </c>
      <c r="G122" s="169">
        <f t="shared" si="0"/>
        <v>2349.3000000000002</v>
      </c>
      <c r="H122" s="122"/>
      <c r="I122" s="187"/>
      <c r="J122" s="237"/>
    </row>
    <row r="123" spans="1:10" s="115" customFormat="1">
      <c r="A123" s="164">
        <f>MAX($A$14:A122)+1</f>
        <v>72</v>
      </c>
      <c r="B123" s="133"/>
      <c r="C123" s="132"/>
      <c r="D123" s="137" t="s">
        <v>278</v>
      </c>
      <c r="E123" s="144" t="s">
        <v>33</v>
      </c>
      <c r="F123" s="173" t="s">
        <v>333</v>
      </c>
      <c r="G123" s="169">
        <f>613.7+213.4</f>
        <v>827.1</v>
      </c>
      <c r="H123" s="122"/>
      <c r="I123" s="187"/>
      <c r="J123" s="237"/>
    </row>
    <row r="124" spans="1:10" s="115" customFormat="1">
      <c r="A124" s="164">
        <f>MAX($A$14:A123)+1</f>
        <v>73</v>
      </c>
      <c r="B124" s="133"/>
      <c r="C124" s="132"/>
      <c r="D124" s="137" t="s">
        <v>128</v>
      </c>
      <c r="E124" s="144" t="s">
        <v>33</v>
      </c>
      <c r="F124" s="173">
        <v>639</v>
      </c>
      <c r="G124" s="169">
        <f t="shared" si="0"/>
        <v>639</v>
      </c>
      <c r="H124" s="122"/>
      <c r="I124" s="187"/>
      <c r="J124" s="237"/>
    </row>
    <row r="125" spans="1:10" s="115" customFormat="1">
      <c r="A125" s="164">
        <f>MAX($A$14:A124)+1</f>
        <v>74</v>
      </c>
      <c r="B125" s="133"/>
      <c r="C125" s="132"/>
      <c r="D125" s="137" t="s">
        <v>210</v>
      </c>
      <c r="E125" s="144" t="s">
        <v>33</v>
      </c>
      <c r="F125" s="173">
        <v>80.400000000000006</v>
      </c>
      <c r="G125" s="169">
        <f t="shared" si="0"/>
        <v>80.400000000000006</v>
      </c>
      <c r="H125" s="122"/>
      <c r="I125" s="187"/>
      <c r="J125" s="237"/>
    </row>
    <row r="126" spans="1:10" ht="15" customHeight="1">
      <c r="A126" s="86"/>
      <c r="B126" s="58"/>
      <c r="C126" s="59" t="s">
        <v>5</v>
      </c>
      <c r="D126" s="98" t="s">
        <v>6</v>
      </c>
      <c r="E126" s="58"/>
      <c r="F126" s="51"/>
      <c r="G126" s="44"/>
      <c r="H126" s="122"/>
      <c r="I126" s="198"/>
    </row>
    <row r="127" spans="1:10" s="53" customFormat="1" ht="15" customHeight="1">
      <c r="A127" s="97"/>
      <c r="B127" s="9"/>
      <c r="C127" s="132" t="s">
        <v>1</v>
      </c>
      <c r="D127" s="147" t="s">
        <v>198</v>
      </c>
      <c r="E127" s="9"/>
      <c r="F127" s="78"/>
      <c r="G127" s="45"/>
      <c r="H127" s="52"/>
      <c r="I127" s="199"/>
      <c r="J127" s="248"/>
    </row>
    <row r="128" spans="1:10" ht="15" customHeight="1">
      <c r="A128" s="164">
        <f>MAX($A$116:A127)+1</f>
        <v>75</v>
      </c>
      <c r="B128" s="133"/>
      <c r="C128" s="132"/>
      <c r="D128" s="104" t="s">
        <v>199</v>
      </c>
      <c r="E128" s="135" t="s">
        <v>30</v>
      </c>
      <c r="F128" s="173">
        <v>8.5</v>
      </c>
      <c r="G128" s="169">
        <f>F128</f>
        <v>8.5</v>
      </c>
      <c r="H128" s="162"/>
      <c r="I128" s="190"/>
    </row>
    <row r="129" spans="1:11" s="74" customFormat="1" ht="22.5">
      <c r="A129" s="165">
        <f>MAX($A$116:A128)+1</f>
        <v>76</v>
      </c>
      <c r="B129" s="148"/>
      <c r="C129" s="140"/>
      <c r="D129" s="85" t="s">
        <v>279</v>
      </c>
      <c r="E129" s="136" t="s">
        <v>32</v>
      </c>
      <c r="F129" s="172" t="s">
        <v>280</v>
      </c>
      <c r="G129" s="170">
        <f>3*13+19</f>
        <v>58</v>
      </c>
      <c r="H129" s="162"/>
      <c r="I129" s="190"/>
      <c r="J129" s="237"/>
      <c r="K129" s="115"/>
    </row>
    <row r="130" spans="1:11" s="53" customFormat="1">
      <c r="A130" s="97"/>
      <c r="B130" s="9"/>
      <c r="C130" s="127" t="s">
        <v>97</v>
      </c>
      <c r="D130" s="126" t="s">
        <v>170</v>
      </c>
      <c r="E130" s="9"/>
      <c r="F130" s="78"/>
      <c r="G130" s="45"/>
      <c r="H130" s="52"/>
      <c r="I130" s="199"/>
      <c r="J130" s="240"/>
      <c r="K130" s="176"/>
    </row>
    <row r="131" spans="1:11" s="74" customFormat="1" ht="15" customHeight="1">
      <c r="A131" s="165">
        <f>MAX($A$116:A129)+1</f>
        <v>77</v>
      </c>
      <c r="B131" s="148"/>
      <c r="C131" s="140"/>
      <c r="D131" s="143" t="s">
        <v>171</v>
      </c>
      <c r="E131" s="136" t="s">
        <v>30</v>
      </c>
      <c r="F131" s="172" t="s">
        <v>389</v>
      </c>
      <c r="G131" s="170">
        <f>4*0.5+2*3</f>
        <v>8</v>
      </c>
      <c r="H131" s="162"/>
      <c r="I131" s="190"/>
      <c r="J131" s="237"/>
      <c r="K131" s="179"/>
    </row>
    <row r="132" spans="1:11" ht="30">
      <c r="A132" s="164"/>
      <c r="B132" s="133"/>
      <c r="C132" s="132" t="s">
        <v>98</v>
      </c>
      <c r="D132" s="147" t="s">
        <v>372</v>
      </c>
      <c r="E132" s="144"/>
      <c r="F132" s="171"/>
      <c r="G132" s="168"/>
      <c r="H132" s="162"/>
      <c r="I132" s="190"/>
    </row>
    <row r="133" spans="1:11" ht="15" customHeight="1">
      <c r="A133" s="164">
        <f>MAX($A$116:A132)+1</f>
        <v>78</v>
      </c>
      <c r="B133" s="133"/>
      <c r="C133" s="132"/>
      <c r="D133" s="137" t="s">
        <v>281</v>
      </c>
      <c r="E133" s="135" t="s">
        <v>30</v>
      </c>
      <c r="F133" s="173">
        <v>34</v>
      </c>
      <c r="G133" s="169">
        <f>F133</f>
        <v>34</v>
      </c>
      <c r="H133" s="162"/>
      <c r="I133" s="190"/>
    </row>
    <row r="134" spans="1:11" s="115" customFormat="1">
      <c r="A134" s="164">
        <f>MAX($A$116:A133)+1</f>
        <v>79</v>
      </c>
      <c r="B134" s="133"/>
      <c r="C134" s="132"/>
      <c r="D134" s="137" t="s">
        <v>373</v>
      </c>
      <c r="E134" s="135" t="s">
        <v>30</v>
      </c>
      <c r="F134" s="173" t="s">
        <v>335</v>
      </c>
      <c r="G134" s="169">
        <f>2*8</f>
        <v>16</v>
      </c>
      <c r="H134" s="162"/>
      <c r="I134" s="190"/>
      <c r="J134" s="237"/>
    </row>
    <row r="135" spans="1:11" s="115" customFormat="1">
      <c r="A135" s="164">
        <f>MAX($A$116:A134)+1</f>
        <v>80</v>
      </c>
      <c r="B135" s="133"/>
      <c r="C135" s="132"/>
      <c r="D135" s="137" t="s">
        <v>374</v>
      </c>
      <c r="E135" s="135" t="s">
        <v>30</v>
      </c>
      <c r="F135" s="173" t="s">
        <v>334</v>
      </c>
      <c r="G135" s="169">
        <f>3*1.5+1.7</f>
        <v>6.2</v>
      </c>
      <c r="H135" s="162"/>
      <c r="I135" s="190"/>
      <c r="J135" s="237"/>
    </row>
    <row r="136" spans="1:11" s="74" customFormat="1">
      <c r="A136" s="164">
        <f>MAX($A$116:A135)+1</f>
        <v>81</v>
      </c>
      <c r="B136" s="133"/>
      <c r="C136" s="132"/>
      <c r="D136" s="137" t="s">
        <v>211</v>
      </c>
      <c r="E136" s="135" t="s">
        <v>30</v>
      </c>
      <c r="F136" s="173">
        <v>0.5</v>
      </c>
      <c r="G136" s="169">
        <v>0.5</v>
      </c>
      <c r="H136" s="162"/>
      <c r="I136" s="190"/>
      <c r="J136" s="237"/>
      <c r="K136" s="115"/>
    </row>
    <row r="137" spans="1:11" s="115" customFormat="1" ht="15" customHeight="1">
      <c r="A137" s="165">
        <f>MAX($A$116:A136)+1</f>
        <v>82</v>
      </c>
      <c r="B137" s="148"/>
      <c r="C137" s="140"/>
      <c r="D137" s="143" t="s">
        <v>322</v>
      </c>
      <c r="E137" s="136" t="s">
        <v>30</v>
      </c>
      <c r="F137" s="172" t="s">
        <v>323</v>
      </c>
      <c r="G137" s="170">
        <f>2*7*0.8*0.1*0.5</f>
        <v>0.56000000000000005</v>
      </c>
      <c r="H137" s="162"/>
      <c r="I137" s="190"/>
      <c r="J137" s="237"/>
    </row>
    <row r="138" spans="1:11">
      <c r="A138" s="164"/>
      <c r="B138" s="133"/>
      <c r="C138" s="132" t="s">
        <v>99</v>
      </c>
      <c r="D138" s="147" t="s">
        <v>172</v>
      </c>
      <c r="E138" s="144"/>
      <c r="F138" s="171"/>
      <c r="G138" s="168"/>
      <c r="H138" s="162"/>
      <c r="I138" s="190"/>
    </row>
    <row r="139" spans="1:11" s="115" customFormat="1">
      <c r="A139" s="164">
        <f>MAX($A$116:A137)+1</f>
        <v>83</v>
      </c>
      <c r="B139" s="133"/>
      <c r="C139" s="132"/>
      <c r="D139" s="137" t="s">
        <v>173</v>
      </c>
      <c r="E139" s="135" t="s">
        <v>30</v>
      </c>
      <c r="F139" s="173" t="s">
        <v>336</v>
      </c>
      <c r="G139" s="169">
        <f>10+11</f>
        <v>21</v>
      </c>
      <c r="H139" s="23"/>
      <c r="I139" s="193"/>
      <c r="J139" s="237"/>
    </row>
    <row r="140" spans="1:11">
      <c r="A140" s="166"/>
      <c r="B140" s="17"/>
      <c r="C140" s="127" t="s">
        <v>61</v>
      </c>
      <c r="D140" s="126" t="s">
        <v>200</v>
      </c>
      <c r="E140" s="152"/>
      <c r="F140" s="79"/>
      <c r="G140" s="80"/>
      <c r="H140" s="27"/>
      <c r="I140" s="189"/>
    </row>
    <row r="141" spans="1:11" s="115" customFormat="1">
      <c r="A141" s="164">
        <f>MAX($A$116:A139)+1</f>
        <v>84</v>
      </c>
      <c r="B141" s="133"/>
      <c r="C141" s="132"/>
      <c r="D141" s="137" t="s">
        <v>174</v>
      </c>
      <c r="E141" s="135" t="s">
        <v>30</v>
      </c>
      <c r="F141" s="173" t="s">
        <v>337</v>
      </c>
      <c r="G141" s="169">
        <f>4+6</f>
        <v>10</v>
      </c>
      <c r="H141" s="23"/>
      <c r="I141" s="193"/>
      <c r="J141" s="237"/>
    </row>
    <row r="142" spans="1:11" s="115" customFormat="1">
      <c r="A142" s="164">
        <f>MAX($A$116:A141)+1</f>
        <v>85</v>
      </c>
      <c r="B142" s="133"/>
      <c r="C142" s="132"/>
      <c r="D142" s="137" t="s">
        <v>175</v>
      </c>
      <c r="E142" s="135" t="s">
        <v>30</v>
      </c>
      <c r="F142" s="173">
        <v>2.5</v>
      </c>
      <c r="G142" s="169">
        <f>F142</f>
        <v>2.5</v>
      </c>
      <c r="H142" s="23"/>
      <c r="I142" s="193"/>
      <c r="J142" s="237"/>
    </row>
    <row r="143" spans="1:11" s="115" customFormat="1">
      <c r="A143" s="164">
        <f>MAX($A$116:A142)+1</f>
        <v>86</v>
      </c>
      <c r="B143" s="133"/>
      <c r="C143" s="132"/>
      <c r="D143" s="137" t="s">
        <v>284</v>
      </c>
      <c r="E143" s="135" t="s">
        <v>30</v>
      </c>
      <c r="F143" s="173" t="s">
        <v>338</v>
      </c>
      <c r="G143" s="169">
        <f>3*1.5+1.5</f>
        <v>6</v>
      </c>
      <c r="H143" s="23"/>
      <c r="I143" s="193"/>
      <c r="J143" s="237"/>
    </row>
    <row r="144" spans="1:11" s="115" customFormat="1">
      <c r="A144" s="164">
        <f>MAX($A$116:A143)+1</f>
        <v>87</v>
      </c>
      <c r="B144" s="133"/>
      <c r="C144" s="132"/>
      <c r="D144" s="137" t="s">
        <v>212</v>
      </c>
      <c r="E144" s="135" t="s">
        <v>30</v>
      </c>
      <c r="F144" s="173" t="s">
        <v>283</v>
      </c>
      <c r="G144" s="169">
        <f>2*0.1*1.1*0.6</f>
        <v>0.13200000000000001</v>
      </c>
      <c r="H144" s="23"/>
      <c r="I144" s="193"/>
      <c r="J144" s="237"/>
    </row>
    <row r="145" spans="1:10" s="115" customFormat="1" ht="15" customHeight="1">
      <c r="A145" s="164">
        <f>MAX($A$116:A144)+1</f>
        <v>88</v>
      </c>
      <c r="B145" s="133"/>
      <c r="C145" s="132"/>
      <c r="D145" s="137" t="s">
        <v>176</v>
      </c>
      <c r="E145" s="135" t="s">
        <v>30</v>
      </c>
      <c r="F145" s="173" t="s">
        <v>390</v>
      </c>
      <c r="G145" s="169">
        <f>2*0.15*1.2*1.2+2*0.15*1*1.01</f>
        <v>0.73499999999999999</v>
      </c>
      <c r="H145" s="23"/>
      <c r="I145" s="193"/>
      <c r="J145" s="237"/>
    </row>
    <row r="146" spans="1:10">
      <c r="A146" s="166"/>
      <c r="B146" s="129"/>
      <c r="C146" s="127" t="s">
        <v>92</v>
      </c>
      <c r="D146" s="126" t="s">
        <v>201</v>
      </c>
      <c r="E146" s="152"/>
      <c r="F146" s="79"/>
      <c r="G146" s="80"/>
      <c r="H146" s="23"/>
      <c r="I146" s="193"/>
    </row>
    <row r="147" spans="1:10" ht="22.5">
      <c r="A147" s="165">
        <f>MAX($A$116:A146)+1</f>
        <v>89</v>
      </c>
      <c r="B147" s="148"/>
      <c r="C147" s="140"/>
      <c r="D147" s="154" t="s">
        <v>339</v>
      </c>
      <c r="E147" s="136" t="s">
        <v>31</v>
      </c>
      <c r="F147" s="172" t="s">
        <v>285</v>
      </c>
      <c r="G147" s="170">
        <f>2*24.4</f>
        <v>48.8</v>
      </c>
      <c r="H147" s="23"/>
      <c r="I147" s="193"/>
    </row>
    <row r="148" spans="1:10" ht="15" customHeight="1">
      <c r="A148" s="86"/>
      <c r="B148" s="58"/>
      <c r="C148" s="59" t="s">
        <v>7</v>
      </c>
      <c r="D148" s="8" t="s">
        <v>122</v>
      </c>
      <c r="E148" s="58"/>
      <c r="F148" s="51"/>
      <c r="G148" s="44"/>
      <c r="H148" s="23"/>
      <c r="I148" s="193"/>
    </row>
    <row r="149" spans="1:10">
      <c r="A149" s="166"/>
      <c r="B149" s="129"/>
      <c r="C149" s="127" t="s">
        <v>62</v>
      </c>
      <c r="D149" s="126" t="s">
        <v>74</v>
      </c>
      <c r="E149" s="130"/>
      <c r="F149" s="75"/>
      <c r="G149" s="66"/>
      <c r="H149" s="23"/>
      <c r="I149" s="193"/>
    </row>
    <row r="150" spans="1:10" ht="22.5">
      <c r="A150" s="164">
        <f>MAX($A$116:A149)+1</f>
        <v>90</v>
      </c>
      <c r="B150" s="133"/>
      <c r="C150" s="132"/>
      <c r="D150" s="137" t="s">
        <v>75</v>
      </c>
      <c r="E150" s="135" t="s">
        <v>34</v>
      </c>
      <c r="F150" s="173" t="s">
        <v>286</v>
      </c>
      <c r="G150" s="169">
        <f>2*((2.4+0.7+0.3)*(7.4+7.72)+2*0.3*4.1+2*0.4*0.35)</f>
        <v>108.29599999999999</v>
      </c>
      <c r="H150" s="32"/>
      <c r="I150" s="195"/>
    </row>
    <row r="151" spans="1:10" s="74" customFormat="1" ht="22.5">
      <c r="A151" s="164">
        <f>MAX($A$116:A150)+1</f>
        <v>91</v>
      </c>
      <c r="B151" s="133"/>
      <c r="C151" s="132"/>
      <c r="D151" s="137" t="s">
        <v>177</v>
      </c>
      <c r="E151" s="135" t="s">
        <v>34</v>
      </c>
      <c r="F151" s="173" t="s">
        <v>288</v>
      </c>
      <c r="G151" s="169">
        <f>2*(0.3*11.1)+4*(4.2*0.8+4.2*0.3+4*0.5*3*2.7)</f>
        <v>89.940000000000012</v>
      </c>
      <c r="H151" s="23"/>
      <c r="I151" s="193"/>
      <c r="J151" s="237"/>
    </row>
    <row r="152" spans="1:10" s="115" customFormat="1">
      <c r="A152" s="164">
        <f>MAX($A$116:A151)+1</f>
        <v>92</v>
      </c>
      <c r="B152" s="133"/>
      <c r="C152" s="132"/>
      <c r="D152" s="137" t="s">
        <v>179</v>
      </c>
      <c r="E152" s="135" t="s">
        <v>34</v>
      </c>
      <c r="F152" s="173" t="s">
        <v>287</v>
      </c>
      <c r="G152" s="169">
        <f>28*(2*1+0.3)+4*1*0.3</f>
        <v>65.599999999999994</v>
      </c>
      <c r="H152" s="23"/>
      <c r="I152" s="193"/>
      <c r="J152" s="237"/>
    </row>
    <row r="153" spans="1:10" ht="22.5">
      <c r="A153" s="165">
        <f>MAX($A$116:A152)+1</f>
        <v>93</v>
      </c>
      <c r="B153" s="148"/>
      <c r="C153" s="140"/>
      <c r="D153" s="143" t="s">
        <v>178</v>
      </c>
      <c r="E153" s="136" t="s">
        <v>34</v>
      </c>
      <c r="F153" s="172" t="s">
        <v>289</v>
      </c>
      <c r="G153" s="170">
        <f>2*0.2*11.1+4*0.2*4.1</f>
        <v>7.7200000000000006</v>
      </c>
      <c r="H153" s="23"/>
      <c r="I153" s="193"/>
    </row>
    <row r="154" spans="1:10">
      <c r="A154" s="166"/>
      <c r="B154" s="129"/>
      <c r="C154" s="127" t="s">
        <v>63</v>
      </c>
      <c r="D154" s="126" t="s">
        <v>71</v>
      </c>
      <c r="E154" s="152"/>
      <c r="F154" s="79"/>
      <c r="G154" s="80"/>
      <c r="H154" s="23"/>
      <c r="I154" s="193"/>
    </row>
    <row r="155" spans="1:10">
      <c r="A155" s="164">
        <f>MAX($A$116:A154)+1</f>
        <v>94</v>
      </c>
      <c r="B155" s="133"/>
      <c r="C155" s="132"/>
      <c r="D155" s="137" t="s">
        <v>108</v>
      </c>
      <c r="E155" s="135" t="s">
        <v>34</v>
      </c>
      <c r="F155" s="173" t="s">
        <v>290</v>
      </c>
      <c r="G155" s="169">
        <f>11.22*18.66</f>
        <v>209.36520000000002</v>
      </c>
      <c r="H155" s="23"/>
      <c r="I155" s="193"/>
    </row>
    <row r="156" spans="1:10" s="115" customFormat="1">
      <c r="A156" s="164">
        <f>MAX($A$116:A155)+1</f>
        <v>95</v>
      </c>
      <c r="B156" s="133"/>
      <c r="C156" s="132"/>
      <c r="D156" s="137" t="s">
        <v>202</v>
      </c>
      <c r="E156" s="135" t="s">
        <v>34</v>
      </c>
      <c r="F156" s="173" t="s">
        <v>291</v>
      </c>
      <c r="G156" s="169">
        <f>2*2.31*18.66</f>
        <v>86.209199999999996</v>
      </c>
      <c r="H156" s="23"/>
      <c r="I156" s="193"/>
      <c r="J156" s="237"/>
    </row>
    <row r="157" spans="1:10">
      <c r="A157" s="164">
        <f>MAX($A$116:A156)+1</f>
        <v>96</v>
      </c>
      <c r="B157" s="133"/>
      <c r="C157" s="132"/>
      <c r="D157" s="137" t="s">
        <v>129</v>
      </c>
      <c r="E157" s="135" t="s">
        <v>34</v>
      </c>
      <c r="F157" s="173" t="s">
        <v>293</v>
      </c>
      <c r="G157" s="169">
        <f>2*10.9*2.2</f>
        <v>47.960000000000008</v>
      </c>
      <c r="H157" s="23"/>
      <c r="I157" s="193"/>
    </row>
    <row r="158" spans="1:10" s="115" customFormat="1">
      <c r="A158" s="164">
        <f>MAX($A$116:A157)+1</f>
        <v>97</v>
      </c>
      <c r="B158" s="133"/>
      <c r="C158" s="132"/>
      <c r="D158" s="137" t="s">
        <v>340</v>
      </c>
      <c r="E158" s="135" t="s">
        <v>34</v>
      </c>
      <c r="F158" s="173" t="s">
        <v>294</v>
      </c>
      <c r="G158" s="169">
        <f>4*1*2.3</f>
        <v>9.1999999999999993</v>
      </c>
      <c r="H158" s="23"/>
      <c r="I158" s="193"/>
      <c r="J158" s="237"/>
    </row>
    <row r="159" spans="1:10" ht="22.5">
      <c r="A159" s="164">
        <f>MAX($A$116:A158)+1</f>
        <v>98</v>
      </c>
      <c r="B159" s="133"/>
      <c r="C159" s="132"/>
      <c r="D159" s="137" t="s">
        <v>109</v>
      </c>
      <c r="E159" s="135" t="s">
        <v>34</v>
      </c>
      <c r="F159" s="173" t="s">
        <v>292</v>
      </c>
      <c r="G159" s="169">
        <f>2*(7.4+7.72)*1.7</f>
        <v>51.408000000000001</v>
      </c>
      <c r="H159" s="23"/>
      <c r="I159" s="193"/>
    </row>
    <row r="160" spans="1:10" s="74" customFormat="1" ht="15" customHeight="1">
      <c r="A160" s="166"/>
      <c r="B160" s="129"/>
      <c r="C160" s="127" t="s">
        <v>123</v>
      </c>
      <c r="D160" s="68" t="s">
        <v>84</v>
      </c>
      <c r="E160" s="150"/>
      <c r="F160" s="111"/>
      <c r="G160" s="167"/>
      <c r="H160" s="162"/>
      <c r="I160" s="190"/>
      <c r="J160" s="237"/>
    </row>
    <row r="161" spans="1:14" s="74" customFormat="1">
      <c r="A161" s="164">
        <f>MAX($A$14:A160)+1</f>
        <v>99</v>
      </c>
      <c r="B161" s="133"/>
      <c r="C161" s="132"/>
      <c r="D161" s="137" t="s">
        <v>203</v>
      </c>
      <c r="E161" s="135" t="s">
        <v>34</v>
      </c>
      <c r="F161" s="173" t="s">
        <v>295</v>
      </c>
      <c r="G161" s="169">
        <f>2.1*(24.5+24.9)</f>
        <v>103.74</v>
      </c>
      <c r="H161" s="20"/>
      <c r="I161" s="44"/>
      <c r="J161" s="237"/>
    </row>
    <row r="162" spans="1:14" ht="15" customHeight="1">
      <c r="A162" s="86"/>
      <c r="B162" s="58"/>
      <c r="C162" s="59" t="s">
        <v>8</v>
      </c>
      <c r="D162" s="8" t="s">
        <v>9</v>
      </c>
      <c r="E162" s="58"/>
      <c r="F162" s="51"/>
      <c r="G162" s="44"/>
      <c r="H162" s="23"/>
      <c r="I162" s="193"/>
    </row>
    <row r="163" spans="1:14" s="260" customFormat="1" ht="15" customHeight="1">
      <c r="A163" s="166"/>
      <c r="B163" s="9"/>
      <c r="C163" s="127" t="s">
        <v>361</v>
      </c>
      <c r="D163" s="126" t="s">
        <v>362</v>
      </c>
      <c r="E163" s="251"/>
      <c r="F163" s="251"/>
      <c r="G163" s="254"/>
      <c r="H163" s="258"/>
      <c r="I163" s="259"/>
    </row>
    <row r="164" spans="1:14" s="260" customFormat="1" ht="15" customHeight="1">
      <c r="A164" s="164">
        <f>MAX($A$116:A163)+1</f>
        <v>100</v>
      </c>
      <c r="B164" s="261"/>
      <c r="C164" s="140"/>
      <c r="D164" s="143" t="s">
        <v>392</v>
      </c>
      <c r="E164" s="136" t="s">
        <v>31</v>
      </c>
      <c r="F164" s="172" t="s">
        <v>393</v>
      </c>
      <c r="G164" s="170">
        <f>9.5+8.4+8.2+10</f>
        <v>36.099999999999994</v>
      </c>
      <c r="H164" s="258"/>
      <c r="I164" s="259"/>
    </row>
    <row r="165" spans="1:14">
      <c r="A165" s="166"/>
      <c r="B165" s="129"/>
      <c r="C165" s="127" t="s">
        <v>2</v>
      </c>
      <c r="D165" s="126" t="s">
        <v>110</v>
      </c>
      <c r="E165" s="130"/>
      <c r="F165" s="75"/>
      <c r="G165" s="167"/>
      <c r="H165" s="162"/>
      <c r="I165" s="190"/>
    </row>
    <row r="166" spans="1:14">
      <c r="A166" s="164">
        <f>MAX($A$116:A165)+1</f>
        <v>101</v>
      </c>
      <c r="B166" s="133"/>
      <c r="C166" s="132"/>
      <c r="D166" s="137" t="s">
        <v>391</v>
      </c>
      <c r="E166" s="144" t="s">
        <v>32</v>
      </c>
      <c r="F166" s="171" t="s">
        <v>394</v>
      </c>
      <c r="G166" s="65">
        <f>2*4</f>
        <v>8</v>
      </c>
      <c r="H166" s="23"/>
      <c r="I166" s="193"/>
    </row>
    <row r="167" spans="1:14">
      <c r="A167" s="164">
        <f>MAX($A$116:A166)+1</f>
        <v>102</v>
      </c>
      <c r="B167" s="133"/>
      <c r="C167" s="132"/>
      <c r="D167" s="137" t="s">
        <v>130</v>
      </c>
      <c r="E167" s="135" t="s">
        <v>31</v>
      </c>
      <c r="F167" s="173" t="s">
        <v>298</v>
      </c>
      <c r="G167" s="169">
        <f>4*18.66</f>
        <v>74.64</v>
      </c>
      <c r="H167" s="23"/>
      <c r="I167" s="193"/>
    </row>
    <row r="168" spans="1:14" ht="22.5">
      <c r="A168" s="164">
        <f>MAX($A$116:A167)+1</f>
        <v>103</v>
      </c>
      <c r="B168" s="133"/>
      <c r="C168" s="132"/>
      <c r="D168" s="137" t="s">
        <v>180</v>
      </c>
      <c r="E168" s="135" t="s">
        <v>31</v>
      </c>
      <c r="F168" s="173" t="s">
        <v>299</v>
      </c>
      <c r="G168" s="169">
        <f>2*11.8+2*37*0.5</f>
        <v>60.6</v>
      </c>
      <c r="H168" s="23"/>
      <c r="I168" s="193"/>
    </row>
    <row r="169" spans="1:14" ht="15" customHeight="1">
      <c r="A169" s="86"/>
      <c r="B169" s="58"/>
      <c r="C169" s="59" t="s">
        <v>10</v>
      </c>
      <c r="D169" s="8" t="s">
        <v>11</v>
      </c>
      <c r="E169" s="58"/>
      <c r="F169" s="51"/>
      <c r="G169" s="44"/>
      <c r="H169" s="31">
        <f>E169</f>
        <v>0</v>
      </c>
      <c r="I169" s="193"/>
    </row>
    <row r="170" spans="1:14">
      <c r="A170" s="166"/>
      <c r="B170" s="129"/>
      <c r="C170" s="127" t="s">
        <v>78</v>
      </c>
      <c r="D170" s="126" t="s">
        <v>79</v>
      </c>
      <c r="E170" s="130"/>
      <c r="F170" s="131"/>
      <c r="G170" s="102"/>
      <c r="H170" s="109"/>
      <c r="I170" s="198"/>
    </row>
    <row r="171" spans="1:14">
      <c r="A171" s="164">
        <f>MAX($A$107:A170)+1</f>
        <v>104</v>
      </c>
      <c r="B171" s="133"/>
      <c r="C171" s="132"/>
      <c r="D171" s="250" t="s">
        <v>395</v>
      </c>
      <c r="E171" s="144" t="s">
        <v>31</v>
      </c>
      <c r="F171" s="171" t="s">
        <v>300</v>
      </c>
      <c r="G171" s="169">
        <f>2*11.89</f>
        <v>23.78</v>
      </c>
      <c r="H171" s="109"/>
      <c r="I171" s="198"/>
      <c r="J171" s="249"/>
    </row>
    <row r="172" spans="1:14">
      <c r="A172" s="166"/>
      <c r="B172" s="129"/>
      <c r="C172" s="127" t="s">
        <v>72</v>
      </c>
      <c r="D172" s="126" t="s">
        <v>73</v>
      </c>
      <c r="E172" s="130"/>
      <c r="F172" s="75"/>
      <c r="G172" s="167"/>
      <c r="H172" s="122"/>
      <c r="I172" s="198"/>
    </row>
    <row r="173" spans="1:14" ht="30" customHeight="1">
      <c r="A173" s="164">
        <f>MAX($A$146:A172)+1</f>
        <v>105</v>
      </c>
      <c r="B173" s="133"/>
      <c r="C173" s="132"/>
      <c r="D173" s="250" t="s">
        <v>204</v>
      </c>
      <c r="E173" s="135" t="s">
        <v>31</v>
      </c>
      <c r="F173" s="173" t="s">
        <v>301</v>
      </c>
      <c r="G173" s="169">
        <f>4*24.5</f>
        <v>98</v>
      </c>
      <c r="H173" s="23"/>
      <c r="I173" s="193"/>
    </row>
    <row r="174" spans="1:14" s="74" customFormat="1" ht="30" customHeight="1">
      <c r="A174" s="164">
        <f>MAX($A$146:A173)+1</f>
        <v>106</v>
      </c>
      <c r="B174" s="133"/>
      <c r="C174" s="132"/>
      <c r="D174" s="137" t="s">
        <v>302</v>
      </c>
      <c r="E174" s="135" t="s">
        <v>31</v>
      </c>
      <c r="F174" s="173" t="s">
        <v>303</v>
      </c>
      <c r="G174" s="169">
        <f>7.4+7.72</f>
        <v>15.120000000000001</v>
      </c>
      <c r="H174" s="23"/>
      <c r="I174" s="193"/>
      <c r="J174" s="244"/>
      <c r="K174" s="115"/>
      <c r="L174" s="115"/>
      <c r="M174" s="115"/>
      <c r="N174" s="115"/>
    </row>
    <row r="175" spans="1:14" s="115" customFormat="1" ht="30" customHeight="1">
      <c r="A175" s="164">
        <f>MAX($A$146:A174)+1</f>
        <v>107</v>
      </c>
      <c r="B175" s="133"/>
      <c r="C175" s="132"/>
      <c r="D175" s="137" t="s">
        <v>304</v>
      </c>
      <c r="E175" s="135" t="s">
        <v>31</v>
      </c>
      <c r="F175" s="173" t="s">
        <v>305</v>
      </c>
      <c r="G175" s="169">
        <f>4*2</f>
        <v>8</v>
      </c>
      <c r="H175" s="23"/>
      <c r="I175" s="193"/>
      <c r="J175" s="237"/>
    </row>
    <row r="176" spans="1:14" s="115" customFormat="1" ht="30" customHeight="1">
      <c r="A176" s="165">
        <f>MAX($A$146:A175)+1</f>
        <v>108</v>
      </c>
      <c r="B176" s="148"/>
      <c r="C176" s="140"/>
      <c r="D176" s="143" t="s">
        <v>341</v>
      </c>
      <c r="E176" s="136" t="s">
        <v>31</v>
      </c>
      <c r="F176" s="172" t="s">
        <v>306</v>
      </c>
      <c r="G176" s="170">
        <f>4*(2*1.9+2*0.5)</f>
        <v>19.2</v>
      </c>
      <c r="H176" s="23"/>
      <c r="I176" s="193"/>
      <c r="J176" s="244"/>
    </row>
    <row r="177" spans="1:14" ht="15" customHeight="1">
      <c r="A177" s="86"/>
      <c r="B177" s="58"/>
      <c r="C177" s="59" t="s">
        <v>119</v>
      </c>
      <c r="D177" s="8" t="s">
        <v>12</v>
      </c>
      <c r="E177" s="58"/>
      <c r="F177" s="51"/>
      <c r="G177" s="44"/>
      <c r="H177" s="23"/>
      <c r="I177" s="193"/>
      <c r="J177" s="245"/>
      <c r="K177" s="76"/>
      <c r="L177" s="76"/>
      <c r="M177" s="76"/>
      <c r="N177" s="76"/>
    </row>
    <row r="178" spans="1:14">
      <c r="A178" s="164"/>
      <c r="B178" s="129"/>
      <c r="C178" s="127" t="s">
        <v>93</v>
      </c>
      <c r="D178" s="126" t="s">
        <v>94</v>
      </c>
      <c r="E178" s="152"/>
      <c r="F178" s="79"/>
      <c r="G178" s="80"/>
      <c r="H178" s="23"/>
      <c r="I178" s="193"/>
    </row>
    <row r="179" spans="1:14" ht="22.5">
      <c r="A179" s="164">
        <f>MAX($A$140:A178)+1</f>
        <v>109</v>
      </c>
      <c r="B179" s="133"/>
      <c r="C179" s="132"/>
      <c r="D179" s="137" t="s">
        <v>181</v>
      </c>
      <c r="E179" s="54" t="s">
        <v>31</v>
      </c>
      <c r="F179" s="82" t="s">
        <v>224</v>
      </c>
      <c r="G179" s="62">
        <f>2*18.7</f>
        <v>37.4</v>
      </c>
      <c r="H179" s="30"/>
      <c r="I179" s="44"/>
    </row>
    <row r="180" spans="1:14" ht="15" customHeight="1">
      <c r="A180" s="86"/>
      <c r="B180" s="58"/>
      <c r="C180" s="59" t="s">
        <v>13</v>
      </c>
      <c r="D180" s="8" t="s">
        <v>14</v>
      </c>
      <c r="E180" s="58"/>
      <c r="F180" s="51"/>
      <c r="G180" s="44"/>
      <c r="H180" s="122"/>
      <c r="I180" s="198"/>
      <c r="J180" s="244"/>
    </row>
    <row r="181" spans="1:14" s="106" customFormat="1">
      <c r="A181" s="166"/>
      <c r="B181" s="129"/>
      <c r="C181" s="127" t="s">
        <v>132</v>
      </c>
      <c r="D181" s="126" t="s">
        <v>131</v>
      </c>
      <c r="E181" s="130"/>
      <c r="F181" s="131"/>
      <c r="G181" s="168"/>
      <c r="H181" s="122"/>
      <c r="I181" s="198"/>
      <c r="J181" s="237"/>
      <c r="K181" s="115"/>
      <c r="L181" s="115"/>
      <c r="M181" s="115"/>
      <c r="N181" s="115"/>
    </row>
    <row r="182" spans="1:14" s="106" customFormat="1" ht="31.9" customHeight="1">
      <c r="A182" s="164">
        <f>MAX($A$97:A181)+1</f>
        <v>110</v>
      </c>
      <c r="B182" s="133"/>
      <c r="C182" s="132"/>
      <c r="D182" s="250" t="s">
        <v>205</v>
      </c>
      <c r="E182" s="144" t="s">
        <v>34</v>
      </c>
      <c r="F182" s="107" t="s">
        <v>214</v>
      </c>
      <c r="G182" s="170">
        <f>0.25*3.14*1.2*(2*3.4*3.4+ 2*3.6*3.6)</f>
        <v>46.195679999999996</v>
      </c>
      <c r="H182" s="122"/>
      <c r="I182" s="198"/>
      <c r="J182" s="244"/>
      <c r="K182" s="115"/>
      <c r="L182" s="115"/>
      <c r="M182" s="115"/>
      <c r="N182" s="115"/>
    </row>
    <row r="183" spans="1:14" ht="30">
      <c r="A183" s="166"/>
      <c r="B183" s="129"/>
      <c r="C183" s="127" t="s">
        <v>111</v>
      </c>
      <c r="D183" s="126" t="s">
        <v>112</v>
      </c>
      <c r="E183" s="130"/>
      <c r="F183" s="131"/>
      <c r="G183" s="167"/>
      <c r="H183" s="122"/>
      <c r="I183" s="198"/>
    </row>
    <row r="184" spans="1:14" ht="22.9" customHeight="1">
      <c r="A184" s="164">
        <f>MAX($A$97:A183)+1</f>
        <v>111</v>
      </c>
      <c r="B184" s="133"/>
      <c r="C184" s="132"/>
      <c r="D184" s="137" t="s">
        <v>342</v>
      </c>
      <c r="E184" s="144" t="s">
        <v>32</v>
      </c>
      <c r="F184" s="173" t="s">
        <v>371</v>
      </c>
      <c r="G184" s="169">
        <f>1209+234</f>
        <v>1443</v>
      </c>
      <c r="H184" s="122"/>
      <c r="I184" s="198"/>
    </row>
    <row r="185" spans="1:14" s="115" customFormat="1" ht="22.15" customHeight="1">
      <c r="A185" s="164">
        <f>MAX($A$97:A184)+1</f>
        <v>112</v>
      </c>
      <c r="B185" s="133"/>
      <c r="C185" s="132"/>
      <c r="D185" s="137" t="s">
        <v>343</v>
      </c>
      <c r="E185" s="144" t="s">
        <v>32</v>
      </c>
      <c r="F185" s="173" t="s">
        <v>344</v>
      </c>
      <c r="G185" s="169">
        <f>4*21</f>
        <v>84</v>
      </c>
      <c r="H185" s="122"/>
      <c r="I185" s="198"/>
      <c r="J185" s="237"/>
    </row>
    <row r="186" spans="1:14" s="115" customFormat="1" ht="30" customHeight="1">
      <c r="A186" s="164">
        <f>MAX($A$97:A185)+1</f>
        <v>113</v>
      </c>
      <c r="B186" s="133"/>
      <c r="C186" s="132"/>
      <c r="D186" s="137" t="s">
        <v>345</v>
      </c>
      <c r="E186" s="144" t="s">
        <v>32</v>
      </c>
      <c r="F186" s="173" t="s">
        <v>346</v>
      </c>
      <c r="G186" s="169">
        <f>2*(70+35+35)</f>
        <v>280</v>
      </c>
      <c r="H186" s="122"/>
      <c r="I186" s="198"/>
      <c r="J186" s="237"/>
    </row>
    <row r="187" spans="1:14" s="115" customFormat="1">
      <c r="A187" s="164">
        <f>MAX($A$14:A186)+1</f>
        <v>114</v>
      </c>
      <c r="B187" s="133"/>
      <c r="C187" s="132"/>
      <c r="D187" s="137" t="s">
        <v>347</v>
      </c>
      <c r="E187" s="144" t="s">
        <v>32</v>
      </c>
      <c r="F187" s="173" t="s">
        <v>349</v>
      </c>
      <c r="G187" s="169">
        <f>2*2*37</f>
        <v>148</v>
      </c>
      <c r="H187" s="122"/>
      <c r="I187" s="198"/>
      <c r="J187" s="237"/>
    </row>
    <row r="188" spans="1:14">
      <c r="A188" s="165">
        <f>MAX($A$14:A187)+1</f>
        <v>115</v>
      </c>
      <c r="B188" s="148"/>
      <c r="C188" s="140"/>
      <c r="D188" s="143" t="s">
        <v>348</v>
      </c>
      <c r="E188" s="149" t="s">
        <v>32</v>
      </c>
      <c r="F188" s="172" t="s">
        <v>350</v>
      </c>
      <c r="G188" s="170">
        <f>4*2*6</f>
        <v>48</v>
      </c>
      <c r="H188" s="122"/>
      <c r="I188" s="198"/>
    </row>
    <row r="189" spans="1:14" s="108" customFormat="1">
      <c r="A189" s="166"/>
      <c r="B189" s="129"/>
      <c r="C189" s="127" t="s">
        <v>135</v>
      </c>
      <c r="D189" s="126" t="s">
        <v>136</v>
      </c>
      <c r="E189" s="150"/>
      <c r="F189" s="111"/>
      <c r="G189" s="167"/>
      <c r="H189" s="122"/>
      <c r="I189" s="198"/>
      <c r="J189" s="237"/>
      <c r="K189" s="115"/>
      <c r="L189" s="115"/>
      <c r="M189" s="115"/>
      <c r="N189" s="115"/>
    </row>
    <row r="190" spans="1:14" s="108" customFormat="1" ht="22.5">
      <c r="A190" s="165">
        <f>MAX($A$97:A189)+1</f>
        <v>116</v>
      </c>
      <c r="B190" s="148"/>
      <c r="C190" s="140"/>
      <c r="D190" s="154" t="s">
        <v>206</v>
      </c>
      <c r="E190" s="136" t="s">
        <v>31</v>
      </c>
      <c r="F190" s="172" t="s">
        <v>307</v>
      </c>
      <c r="G190" s="170">
        <f>1.2*2*3.9</f>
        <v>9.36</v>
      </c>
      <c r="H190" s="122"/>
      <c r="I190" s="198"/>
      <c r="J190" s="237"/>
      <c r="K190" s="115"/>
      <c r="L190" s="115"/>
      <c r="M190" s="115"/>
      <c r="N190" s="115"/>
    </row>
    <row r="191" spans="1:14" s="115" customFormat="1">
      <c r="A191" s="164"/>
      <c r="B191" s="133"/>
      <c r="C191" s="132" t="s">
        <v>133</v>
      </c>
      <c r="D191" s="126" t="s">
        <v>207</v>
      </c>
      <c r="E191" s="117"/>
      <c r="F191" s="232"/>
      <c r="G191" s="233"/>
      <c r="H191" s="109"/>
      <c r="I191" s="198"/>
      <c r="J191" s="237"/>
    </row>
    <row r="192" spans="1:14" s="115" customFormat="1" ht="45">
      <c r="A192" s="164">
        <f>MAX($A$12:A190)+1</f>
        <v>117</v>
      </c>
      <c r="B192" s="146"/>
      <c r="C192" s="139"/>
      <c r="D192" s="120" t="s">
        <v>352</v>
      </c>
      <c r="E192" s="124" t="s">
        <v>34</v>
      </c>
      <c r="F192" s="229" t="s">
        <v>351</v>
      </c>
      <c r="G192" s="62">
        <f>0.2*460.6</f>
        <v>92.12</v>
      </c>
      <c r="H192" s="109"/>
      <c r="I192" s="202"/>
      <c r="J192" s="246"/>
      <c r="K192" s="236"/>
    </row>
    <row r="193" spans="1:14" s="115" customFormat="1" ht="33.75">
      <c r="A193" s="164">
        <f>MAX($A$12:A192)+1</f>
        <v>118</v>
      </c>
      <c r="B193" s="146"/>
      <c r="C193" s="139"/>
      <c r="D193" s="120" t="s">
        <v>353</v>
      </c>
      <c r="E193" s="124" t="s">
        <v>34</v>
      </c>
      <c r="F193" s="229" t="s">
        <v>354</v>
      </c>
      <c r="G193" s="62">
        <f>0.3*95.3</f>
        <v>28.59</v>
      </c>
      <c r="H193" s="109"/>
      <c r="I193" s="202"/>
      <c r="J193" s="246"/>
      <c r="K193" s="236"/>
    </row>
    <row r="194" spans="1:14" s="115" customFormat="1">
      <c r="A194" s="164">
        <f>MAX($A$12:A193)+1</f>
        <v>119</v>
      </c>
      <c r="B194" s="146"/>
      <c r="C194" s="139"/>
      <c r="D194" s="120" t="s">
        <v>185</v>
      </c>
      <c r="E194" s="124" t="s">
        <v>34</v>
      </c>
      <c r="F194" s="229" t="s">
        <v>356</v>
      </c>
      <c r="G194" s="62">
        <f>0.6*92.1</f>
        <v>55.26</v>
      </c>
      <c r="H194" s="109"/>
      <c r="I194" s="202"/>
      <c r="J194" s="246" t="s">
        <v>190</v>
      </c>
      <c r="K194" s="236"/>
    </row>
    <row r="195" spans="1:14" s="115" customFormat="1">
      <c r="A195" s="164">
        <f>MAX($A$12:A194)+1</f>
        <v>120</v>
      </c>
      <c r="B195" s="133"/>
      <c r="C195" s="132"/>
      <c r="D195" s="120" t="s">
        <v>187</v>
      </c>
      <c r="E195" s="124" t="s">
        <v>34</v>
      </c>
      <c r="F195" s="229" t="s">
        <v>357</v>
      </c>
      <c r="G195" s="62">
        <f>0.4*92.1</f>
        <v>36.839999999999996</v>
      </c>
      <c r="H195" s="109"/>
      <c r="I195" s="202"/>
      <c r="J195" s="246" t="s">
        <v>190</v>
      </c>
      <c r="K195" s="236"/>
    </row>
    <row r="196" spans="1:14" s="115" customFormat="1">
      <c r="A196" s="164">
        <f>MAX($A$12:A195)+1</f>
        <v>121</v>
      </c>
      <c r="B196" s="146"/>
      <c r="C196" s="139"/>
      <c r="D196" s="120" t="s">
        <v>186</v>
      </c>
      <c r="E196" s="124" t="s">
        <v>34</v>
      </c>
      <c r="F196" s="229" t="s">
        <v>355</v>
      </c>
      <c r="G196" s="62">
        <f>0.6*28.6</f>
        <v>17.16</v>
      </c>
      <c r="H196" s="109"/>
      <c r="I196" s="202"/>
      <c r="J196" s="246" t="s">
        <v>190</v>
      </c>
      <c r="K196" s="236"/>
    </row>
    <row r="197" spans="1:14" s="115" customFormat="1">
      <c r="A197" s="165">
        <f>MAX($A$12:A196)+1</f>
        <v>122</v>
      </c>
      <c r="B197" s="148"/>
      <c r="C197" s="140"/>
      <c r="D197" s="121" t="s">
        <v>184</v>
      </c>
      <c r="E197" s="134" t="s">
        <v>34</v>
      </c>
      <c r="F197" s="229" t="s">
        <v>358</v>
      </c>
      <c r="G197" s="231">
        <f>0.4*28.6</f>
        <v>11.440000000000001</v>
      </c>
      <c r="H197" s="109"/>
      <c r="I197" s="202"/>
      <c r="J197" s="246" t="s">
        <v>190</v>
      </c>
      <c r="K197" s="236"/>
    </row>
    <row r="198" spans="1:14" s="115" customFormat="1" ht="30">
      <c r="A198" s="166"/>
      <c r="B198" s="129"/>
      <c r="C198" s="127" t="s">
        <v>141</v>
      </c>
      <c r="D198" s="126" t="s">
        <v>140</v>
      </c>
      <c r="E198" s="118"/>
      <c r="F198" s="113"/>
      <c r="G198" s="193"/>
      <c r="H198" s="23"/>
      <c r="I198" s="187"/>
      <c r="J198" s="246"/>
      <c r="K198" s="236"/>
    </row>
    <row r="199" spans="1:14" s="115" customFormat="1" ht="30" customHeight="1">
      <c r="A199" s="164">
        <f>MAX($A$88:A198)+1</f>
        <v>123</v>
      </c>
      <c r="B199" s="146"/>
      <c r="C199" s="139"/>
      <c r="D199" s="120" t="s">
        <v>188</v>
      </c>
      <c r="E199" s="124" t="s">
        <v>34</v>
      </c>
      <c r="F199" s="82" t="s">
        <v>311</v>
      </c>
      <c r="G199" s="62">
        <f>7*3.2*17.7+2*7*0.2+17.7*(6*0.3+2*0.5)+2*0.5*11.8</f>
        <v>460.64000000000004</v>
      </c>
      <c r="H199" s="208"/>
      <c r="I199" s="198"/>
      <c r="J199" s="246"/>
      <c r="K199" s="236"/>
    </row>
    <row r="200" spans="1:14" s="115" customFormat="1" ht="33.75">
      <c r="A200" s="165">
        <f>MAX($A$88:A199)+1</f>
        <v>124</v>
      </c>
      <c r="B200" s="133"/>
      <c r="C200" s="140"/>
      <c r="D200" s="121" t="s">
        <v>312</v>
      </c>
      <c r="E200" s="134" t="s">
        <v>34</v>
      </c>
      <c r="F200" s="82" t="s">
        <v>313</v>
      </c>
      <c r="G200" s="231">
        <f>11.1*(2*0.8+2*0.8+1.3+1.5)+4*(0.2*0.8+0.95*1.5)+4*0.5*2.5*1.6+4*4*3*0.3</f>
        <v>95.34</v>
      </c>
      <c r="H200" s="162"/>
      <c r="I200" s="201"/>
      <c r="J200" s="246"/>
      <c r="K200" s="236"/>
    </row>
    <row r="201" spans="1:14">
      <c r="A201" s="166"/>
      <c r="B201" s="129"/>
      <c r="C201" s="127" t="s">
        <v>59</v>
      </c>
      <c r="D201" s="126" t="s">
        <v>15</v>
      </c>
      <c r="E201" s="150"/>
      <c r="F201" s="234"/>
      <c r="G201" s="235"/>
      <c r="H201" s="122"/>
      <c r="I201" s="198"/>
      <c r="J201" s="246"/>
    </row>
    <row r="202" spans="1:14" ht="45" customHeight="1">
      <c r="A202" s="164">
        <f>MAX($A$108:A201)+1</f>
        <v>125</v>
      </c>
      <c r="B202" s="133"/>
      <c r="C202" s="132"/>
      <c r="D202" s="151" t="s">
        <v>138</v>
      </c>
      <c r="E202" s="135" t="s">
        <v>34</v>
      </c>
      <c r="F202" s="82" t="s">
        <v>313</v>
      </c>
      <c r="G202" s="62">
        <f>11.1*(2*0.8+2*0.8+1.3+1.5)+ 4*(0.2*0.8+0.95*1.5)+ 4*0.5*2.5*1.6+4*4*3*0.3</f>
        <v>95.34</v>
      </c>
      <c r="H202" s="122"/>
      <c r="I202" s="198"/>
    </row>
    <row r="203" spans="1:14" s="74" customFormat="1" ht="45">
      <c r="A203" s="165">
        <f>MAX($A$108:A202)+1</f>
        <v>126</v>
      </c>
      <c r="B203" s="148"/>
      <c r="C203" s="140"/>
      <c r="D203" s="154" t="s">
        <v>314</v>
      </c>
      <c r="E203" s="136" t="s">
        <v>34</v>
      </c>
      <c r="F203" s="230" t="s">
        <v>311</v>
      </c>
      <c r="G203" s="231">
        <f>7*3.2*17.7+2*7*0.2+ 17.7*(6*0.3+2*0.5)+2*0.5*11.8</f>
        <v>460.64000000000004</v>
      </c>
      <c r="H203" s="122"/>
      <c r="I203" s="198"/>
      <c r="J203" s="237"/>
      <c r="K203" s="115"/>
      <c r="L203" s="115"/>
      <c r="M203" s="115"/>
      <c r="N203" s="115"/>
    </row>
    <row r="204" spans="1:14" s="115" customFormat="1">
      <c r="A204" s="166"/>
      <c r="B204" s="129"/>
      <c r="C204" s="127" t="s">
        <v>142</v>
      </c>
      <c r="D204" s="126" t="s">
        <v>143</v>
      </c>
      <c r="E204" s="150"/>
      <c r="F204" s="111"/>
      <c r="G204" s="80"/>
      <c r="H204" s="122"/>
      <c r="I204" s="198"/>
      <c r="J204" s="246"/>
    </row>
    <row r="205" spans="1:14" s="115" customFormat="1" ht="22.5">
      <c r="A205" s="164">
        <f>MAX($A$108:A204)+1</f>
        <v>127</v>
      </c>
      <c r="B205" s="133"/>
      <c r="C205" s="132"/>
      <c r="D205" s="151" t="s">
        <v>208</v>
      </c>
      <c r="E205" s="135" t="s">
        <v>31</v>
      </c>
      <c r="F205" s="82" t="s">
        <v>308</v>
      </c>
      <c r="G205" s="169">
        <f>7.8+8.2</f>
        <v>16</v>
      </c>
      <c r="H205" s="122"/>
      <c r="I205" s="198"/>
      <c r="J205" s="246"/>
    </row>
    <row r="206" spans="1:14" s="115" customFormat="1" ht="22.5">
      <c r="A206" s="165">
        <f>MAX($A$108:A205)+1</f>
        <v>128</v>
      </c>
      <c r="B206" s="148"/>
      <c r="C206" s="140"/>
      <c r="D206" s="154" t="s">
        <v>213</v>
      </c>
      <c r="E206" s="136" t="s">
        <v>31</v>
      </c>
      <c r="F206" s="230" t="s">
        <v>309</v>
      </c>
      <c r="G206" s="170">
        <f>4.9+5.2</f>
        <v>10.100000000000001</v>
      </c>
      <c r="H206" s="122"/>
      <c r="I206" s="198"/>
      <c r="J206" s="246"/>
    </row>
    <row r="207" spans="1:14" s="115" customFormat="1">
      <c r="A207" s="166"/>
      <c r="B207" s="129"/>
      <c r="C207" s="127" t="s">
        <v>316</v>
      </c>
      <c r="D207" s="126" t="s">
        <v>317</v>
      </c>
      <c r="E207" s="150"/>
      <c r="F207" s="111"/>
      <c r="G207" s="80"/>
      <c r="H207" s="122"/>
      <c r="I207" s="198"/>
      <c r="J207" s="246"/>
    </row>
    <row r="208" spans="1:14" s="115" customFormat="1" ht="67.5">
      <c r="A208" s="164">
        <f>MAX($A$108:A207)+1</f>
        <v>129</v>
      </c>
      <c r="B208" s="133"/>
      <c r="C208" s="132"/>
      <c r="D208" s="151" t="s">
        <v>363</v>
      </c>
      <c r="E208" s="135" t="s">
        <v>32</v>
      </c>
      <c r="F208" s="82">
        <v>450</v>
      </c>
      <c r="G208" s="169">
        <v>450</v>
      </c>
      <c r="H208" s="122"/>
      <c r="I208" s="198"/>
      <c r="J208" s="246"/>
    </row>
    <row r="209" spans="1:10" s="115" customFormat="1" ht="30">
      <c r="A209" s="166"/>
      <c r="B209" s="129"/>
      <c r="C209" s="127" t="s">
        <v>318</v>
      </c>
      <c r="D209" s="126" t="s">
        <v>319</v>
      </c>
      <c r="E209" s="150"/>
      <c r="F209" s="111"/>
      <c r="G209" s="80"/>
      <c r="H209" s="122"/>
      <c r="I209" s="198"/>
      <c r="J209" s="246"/>
    </row>
    <row r="210" spans="1:10" s="115" customFormat="1">
      <c r="A210" s="164">
        <f>MAX($A$108:A208)+1</f>
        <v>130</v>
      </c>
      <c r="B210" s="133"/>
      <c r="C210" s="132"/>
      <c r="D210" s="151" t="s">
        <v>320</v>
      </c>
      <c r="E210" s="135" t="s">
        <v>34</v>
      </c>
      <c r="F210" s="82">
        <f>G199</f>
        <v>460.64000000000004</v>
      </c>
      <c r="G210" s="169">
        <f>F210</f>
        <v>460.64000000000004</v>
      </c>
      <c r="H210" s="122"/>
      <c r="I210" s="198"/>
      <c r="J210" s="246"/>
    </row>
    <row r="211" spans="1:10" s="115" customFormat="1">
      <c r="A211" s="164">
        <f>MAX($A$108:A210)+1</f>
        <v>131</v>
      </c>
      <c r="B211" s="133"/>
      <c r="C211" s="132"/>
      <c r="D211" s="151" t="s">
        <v>321</v>
      </c>
      <c r="E211" s="135" t="s">
        <v>34</v>
      </c>
      <c r="F211" s="82">
        <f>G200</f>
        <v>95.34</v>
      </c>
      <c r="G211" s="169">
        <f>F211</f>
        <v>95.34</v>
      </c>
      <c r="H211" s="122"/>
      <c r="I211" s="198"/>
      <c r="J211" s="246"/>
    </row>
    <row r="212" spans="1:10" s="115" customFormat="1" ht="22.5">
      <c r="A212" s="165">
        <f>MAX($A$108:A211)+1</f>
        <v>132</v>
      </c>
      <c r="B212" s="148"/>
      <c r="C212" s="140"/>
      <c r="D212" s="154" t="s">
        <v>324</v>
      </c>
      <c r="E212" s="136" t="s">
        <v>33</v>
      </c>
      <c r="F212" s="230" t="s">
        <v>325</v>
      </c>
      <c r="G212" s="257">
        <f>0.6*0.03*350</f>
        <v>6.3</v>
      </c>
      <c r="H212" s="122"/>
      <c r="I212" s="198"/>
      <c r="J212" s="246"/>
    </row>
    <row r="213" spans="1:10">
      <c r="A213" s="164"/>
      <c r="B213" s="15"/>
      <c r="C213" s="177" t="s">
        <v>137</v>
      </c>
      <c r="D213" s="147" t="s">
        <v>182</v>
      </c>
      <c r="E213" s="144"/>
      <c r="F213" s="171"/>
      <c r="G213" s="178"/>
      <c r="H213" s="122"/>
      <c r="I213" s="187"/>
      <c r="J213" s="246"/>
    </row>
    <row r="214" spans="1:10" s="115" customFormat="1" ht="22.5">
      <c r="A214" s="165">
        <f>MAX($A$111:A212)+1</f>
        <v>133</v>
      </c>
      <c r="B214" s="148"/>
      <c r="C214" s="140"/>
      <c r="D214" s="154" t="s">
        <v>189</v>
      </c>
      <c r="E214" s="136" t="s">
        <v>124</v>
      </c>
      <c r="F214" s="265" t="s">
        <v>228</v>
      </c>
      <c r="G214" s="231">
        <f>2*7</f>
        <v>14</v>
      </c>
      <c r="H214" s="163"/>
      <c r="I214" s="203"/>
      <c r="J214" s="237"/>
    </row>
    <row r="215" spans="1:10" s="115" customFormat="1">
      <c r="A215" s="166"/>
      <c r="B215" s="129"/>
      <c r="C215" s="127" t="s">
        <v>139</v>
      </c>
      <c r="D215" s="160" t="s">
        <v>134</v>
      </c>
      <c r="E215" s="150"/>
      <c r="F215" s="114"/>
      <c r="G215" s="212"/>
      <c r="H215" s="209"/>
      <c r="I215" s="198"/>
      <c r="J215" s="246"/>
    </row>
    <row r="216" spans="1:10" s="115" customFormat="1" ht="33.75">
      <c r="A216" s="164">
        <f>MAX($A$108:A215)+1</f>
        <v>134</v>
      </c>
      <c r="B216" s="133"/>
      <c r="C216" s="132"/>
      <c r="D216" s="151" t="s">
        <v>359</v>
      </c>
      <c r="E216" s="135" t="s">
        <v>34</v>
      </c>
      <c r="F216" s="173" t="s">
        <v>396</v>
      </c>
      <c r="G216" s="213">
        <f>1.1*(4+11.5+4.2)+1.1*(4+11.7+8.7)+16.3*5.1+14.4*2.3+0.5*5.3*2.5</f>
        <v>171.38499999999999</v>
      </c>
      <c r="H216" s="210">
        <v>206116</v>
      </c>
      <c r="I216" s="198"/>
      <c r="J216" s="237"/>
    </row>
    <row r="217" spans="1:10" s="115" customFormat="1" ht="33.75">
      <c r="A217" s="164">
        <f>MAX($A$14:A216)+1</f>
        <v>135</v>
      </c>
      <c r="B217" s="133"/>
      <c r="C217" s="132"/>
      <c r="D217" s="138" t="s">
        <v>360</v>
      </c>
      <c r="E217" s="135" t="s">
        <v>34</v>
      </c>
      <c r="F217" s="174" t="s">
        <v>327</v>
      </c>
      <c r="G217" s="169">
        <f>2*1*1</f>
        <v>2</v>
      </c>
      <c r="H217" s="23"/>
      <c r="I217" s="193"/>
      <c r="J217" s="237"/>
    </row>
    <row r="218" spans="1:10" s="115" customFormat="1" ht="15.75" thickBot="1">
      <c r="A218" s="181">
        <f>MAX($A$108:A217)+1</f>
        <v>136</v>
      </c>
      <c r="B218" s="182"/>
      <c r="C218" s="183"/>
      <c r="D218" s="184" t="s">
        <v>183</v>
      </c>
      <c r="E218" s="185" t="s">
        <v>31</v>
      </c>
      <c r="F218" s="186" t="s">
        <v>310</v>
      </c>
      <c r="G218" s="214">
        <f>4+11.5+4.2+4+11.7+8.7</f>
        <v>44.099999999999994</v>
      </c>
      <c r="H218" s="211">
        <v>159201</v>
      </c>
      <c r="I218" s="204"/>
      <c r="J218" s="237"/>
    </row>
    <row r="219" spans="1:10" s="115" customFormat="1" ht="17.25" customHeight="1">
      <c r="A219" s="123"/>
      <c r="B219" s="125"/>
      <c r="C219" s="128"/>
      <c r="F219" s="159"/>
      <c r="G219" s="159"/>
      <c r="H219" s="105"/>
      <c r="I219" s="116"/>
      <c r="J219" s="237"/>
    </row>
    <row r="220" spans="1:10" ht="104.25" customHeight="1">
      <c r="A220" s="269" t="s">
        <v>398</v>
      </c>
      <c r="B220" s="269"/>
      <c r="C220" s="269"/>
      <c r="D220" s="269"/>
      <c r="E220" s="269"/>
      <c r="F220" s="269"/>
      <c r="G220" s="269"/>
      <c r="H220" s="56" t="e">
        <f>+#REF!</f>
        <v>#REF!</v>
      </c>
      <c r="I220" s="6"/>
      <c r="J220" s="247"/>
    </row>
    <row r="221" spans="1:10" ht="10.5" customHeight="1">
      <c r="A221" s="4"/>
      <c r="B221" s="5"/>
      <c r="C221" s="57"/>
      <c r="D221" s="6"/>
      <c r="E221" s="6"/>
      <c r="F221" s="6"/>
      <c r="G221" s="6"/>
      <c r="H221" s="6"/>
      <c r="I221" s="6"/>
      <c r="J221" s="247"/>
    </row>
    <row r="222" spans="1:10" ht="40.5" customHeight="1">
      <c r="A222" s="269" t="s">
        <v>397</v>
      </c>
      <c r="B222" s="269"/>
      <c r="C222" s="269"/>
      <c r="D222" s="269"/>
      <c r="E222" s="269"/>
      <c r="F222" s="269"/>
      <c r="G222" s="269"/>
      <c r="H222" s="1"/>
      <c r="I222" s="1"/>
    </row>
    <row r="223" spans="1:10">
      <c r="A223" s="4"/>
      <c r="B223" s="5"/>
      <c r="C223" s="11"/>
      <c r="D223" s="116"/>
      <c r="E223" s="1"/>
      <c r="F223" s="1"/>
      <c r="H223" s="1"/>
      <c r="I223" s="1"/>
    </row>
    <row r="224" spans="1:10">
      <c r="A224" s="4"/>
      <c r="B224" s="5"/>
      <c r="C224" s="11"/>
      <c r="D224" s="1"/>
      <c r="E224" s="1"/>
      <c r="F224" s="1"/>
      <c r="H224" s="1"/>
      <c r="I224" s="1"/>
    </row>
    <row r="225" spans="1:9">
      <c r="A225" s="4"/>
      <c r="B225" s="5"/>
      <c r="C225" s="11"/>
      <c r="D225" s="1"/>
      <c r="E225" s="1"/>
      <c r="F225" s="1"/>
      <c r="H225" s="1"/>
      <c r="I225" s="1"/>
    </row>
    <row r="226" spans="1:9">
      <c r="A226" s="4"/>
      <c r="B226" s="5"/>
      <c r="C226" s="11"/>
      <c r="D226" s="1"/>
      <c r="E226" s="1"/>
      <c r="F226" s="1"/>
      <c r="H226" s="1"/>
      <c r="I226" s="1"/>
    </row>
    <row r="227" spans="1:9">
      <c r="A227" s="4"/>
      <c r="B227" s="5"/>
      <c r="C227" s="11"/>
      <c r="D227" s="1"/>
      <c r="E227" s="1"/>
      <c r="F227" s="1"/>
      <c r="H227" s="1"/>
      <c r="I227" s="1"/>
    </row>
    <row r="228" spans="1:9">
      <c r="A228" s="4"/>
      <c r="B228" s="5"/>
      <c r="C228" s="11"/>
      <c r="D228" s="1"/>
      <c r="E228" s="1"/>
      <c r="F228" s="1"/>
      <c r="H228" s="1"/>
      <c r="I228" s="1"/>
    </row>
    <row r="229" spans="1:9">
      <c r="A229" s="4"/>
      <c r="B229" s="5"/>
      <c r="C229" s="11"/>
      <c r="D229" s="1"/>
      <c r="E229" s="1"/>
      <c r="F229" s="1"/>
      <c r="H229" s="1"/>
      <c r="I229" s="1"/>
    </row>
    <row r="230" spans="1:9">
      <c r="A230" s="4"/>
      <c r="B230" s="5"/>
      <c r="C230" s="11"/>
      <c r="D230" s="1"/>
      <c r="E230" s="1"/>
      <c r="F230" s="1"/>
      <c r="H230" s="1"/>
      <c r="I230" s="1"/>
    </row>
    <row r="231" spans="1:9">
      <c r="A231" s="4"/>
      <c r="B231" s="5"/>
      <c r="C231" s="11"/>
      <c r="D231" s="1"/>
      <c r="E231" s="1"/>
      <c r="F231" s="1"/>
      <c r="H231" s="1"/>
      <c r="I231" s="1"/>
    </row>
    <row r="232" spans="1:9">
      <c r="A232" s="4"/>
      <c r="B232" s="5"/>
      <c r="C232" s="11"/>
      <c r="D232" s="1"/>
      <c r="E232" s="1"/>
      <c r="F232" s="1"/>
      <c r="H232" s="1"/>
      <c r="I232" s="1"/>
    </row>
    <row r="233" spans="1:9">
      <c r="A233" s="4"/>
      <c r="B233" s="5"/>
      <c r="C233" s="11"/>
      <c r="D233" s="1"/>
      <c r="E233" s="1"/>
      <c r="F233" s="1"/>
      <c r="H233" s="1"/>
      <c r="I233" s="1"/>
    </row>
    <row r="234" spans="1:9">
      <c r="A234" s="4"/>
      <c r="B234" s="5"/>
      <c r="C234" s="11"/>
      <c r="D234" s="1"/>
      <c r="E234" s="1"/>
      <c r="F234" s="1"/>
      <c r="H234" s="1"/>
      <c r="I234" s="1"/>
    </row>
    <row r="235" spans="1:9">
      <c r="A235" s="4"/>
      <c r="B235" s="5"/>
      <c r="C235" s="11"/>
      <c r="D235" s="1"/>
      <c r="E235" s="1"/>
      <c r="F235" s="1"/>
      <c r="H235" s="1"/>
      <c r="I235" s="1"/>
    </row>
    <row r="236" spans="1:9">
      <c r="A236" s="4"/>
      <c r="B236" s="5"/>
      <c r="C236" s="11"/>
      <c r="D236" s="1"/>
      <c r="E236" s="1"/>
      <c r="F236" s="1"/>
      <c r="H236" s="1"/>
      <c r="I236" s="1"/>
    </row>
    <row r="237" spans="1:9">
      <c r="A237" s="4"/>
      <c r="B237" s="5"/>
      <c r="C237" s="11"/>
      <c r="D237" s="1"/>
      <c r="E237" s="1"/>
      <c r="F237" s="1"/>
      <c r="H237" s="1"/>
      <c r="I237" s="1"/>
    </row>
    <row r="238" spans="1:9">
      <c r="A238" s="4"/>
      <c r="B238" s="5"/>
      <c r="C238" s="11"/>
      <c r="D238" s="1"/>
      <c r="E238" s="1"/>
      <c r="F238" s="1"/>
      <c r="H238" s="1"/>
      <c r="I238" s="1"/>
    </row>
    <row r="239" spans="1:9">
      <c r="A239" s="4"/>
      <c r="B239" s="5"/>
      <c r="C239" s="11"/>
      <c r="D239" s="1"/>
      <c r="E239" s="1"/>
      <c r="F239" s="1"/>
      <c r="H239" s="1"/>
      <c r="I239" s="1"/>
    </row>
    <row r="240" spans="1:9">
      <c r="A240" s="4"/>
      <c r="B240" s="5"/>
      <c r="C240" s="11"/>
      <c r="D240" s="1"/>
      <c r="E240" s="1"/>
      <c r="F240" s="1"/>
      <c r="H240" s="1"/>
      <c r="I240" s="1"/>
    </row>
    <row r="241" spans="1:9">
      <c r="A241" s="4"/>
      <c r="B241" s="5"/>
      <c r="C241" s="11"/>
      <c r="D241" s="1"/>
      <c r="E241" s="1"/>
      <c r="F241" s="1"/>
      <c r="H241" s="1"/>
      <c r="I241" s="1"/>
    </row>
    <row r="242" spans="1:9">
      <c r="A242" s="4"/>
      <c r="B242" s="5"/>
      <c r="C242" s="11"/>
      <c r="D242" s="1"/>
      <c r="E242" s="1"/>
      <c r="F242" s="1"/>
      <c r="H242" s="1"/>
      <c r="I242" s="1"/>
    </row>
    <row r="243" spans="1:9">
      <c r="A243" s="4"/>
      <c r="B243" s="5"/>
      <c r="C243" s="11"/>
      <c r="D243" s="1"/>
      <c r="E243" s="1"/>
      <c r="F243" s="1"/>
      <c r="H243" s="1"/>
      <c r="I243" s="1"/>
    </row>
    <row r="244" spans="1:9">
      <c r="A244" s="4"/>
      <c r="B244" s="5"/>
      <c r="C244" s="11"/>
      <c r="D244" s="1"/>
      <c r="E244" s="1"/>
      <c r="F244" s="1"/>
      <c r="H244" s="1"/>
      <c r="I244" s="1"/>
    </row>
    <row r="245" spans="1:9">
      <c r="A245" s="4"/>
      <c r="B245" s="5"/>
      <c r="C245" s="11"/>
      <c r="D245" s="1"/>
      <c r="E245" s="1"/>
      <c r="F245" s="1"/>
      <c r="H245" s="1"/>
      <c r="I245" s="1"/>
    </row>
    <row r="246" spans="1:9">
      <c r="A246" s="4"/>
      <c r="B246" s="5"/>
      <c r="C246" s="11"/>
      <c r="D246" s="1"/>
      <c r="E246" s="1"/>
      <c r="F246" s="1"/>
      <c r="H246" s="1"/>
      <c r="I246" s="1"/>
    </row>
    <row r="247" spans="1:9">
      <c r="A247" s="4"/>
      <c r="B247" s="5"/>
      <c r="C247" s="11"/>
      <c r="D247" s="1"/>
      <c r="E247" s="1"/>
      <c r="F247" s="1"/>
      <c r="H247" s="1"/>
      <c r="I247" s="1"/>
    </row>
    <row r="248" spans="1:9">
      <c r="A248" s="4"/>
      <c r="B248" s="5"/>
      <c r="C248" s="11"/>
      <c r="D248" s="1"/>
      <c r="E248" s="1"/>
      <c r="F248" s="1"/>
      <c r="H248" s="1"/>
      <c r="I248" s="1"/>
    </row>
    <row r="249" spans="1:9">
      <c r="A249" s="4"/>
      <c r="B249" s="5"/>
      <c r="C249" s="11"/>
      <c r="D249" s="1"/>
      <c r="E249" s="1"/>
      <c r="F249" s="1"/>
      <c r="H249" s="1"/>
      <c r="I249" s="1"/>
    </row>
    <row r="250" spans="1:9">
      <c r="A250" s="4"/>
      <c r="B250" s="5"/>
      <c r="C250" s="11"/>
      <c r="D250" s="1"/>
      <c r="E250" s="1"/>
      <c r="F250" s="1"/>
      <c r="H250" s="1"/>
      <c r="I250" s="1"/>
    </row>
    <row r="251" spans="1:9">
      <c r="A251" s="4"/>
      <c r="B251" s="5"/>
      <c r="C251" s="11"/>
      <c r="D251" s="1"/>
      <c r="E251" s="1"/>
      <c r="F251" s="1"/>
      <c r="H251" s="1"/>
      <c r="I251" s="1"/>
    </row>
    <row r="252" spans="1:9">
      <c r="A252" s="4"/>
      <c r="B252" s="5"/>
      <c r="C252" s="11"/>
      <c r="D252" s="1"/>
      <c r="E252" s="1"/>
      <c r="F252" s="1"/>
      <c r="H252" s="1"/>
      <c r="I252" s="1"/>
    </row>
    <row r="253" spans="1:9">
      <c r="A253" s="4"/>
      <c r="B253" s="5"/>
      <c r="C253" s="11"/>
      <c r="D253" s="1"/>
      <c r="E253" s="1"/>
      <c r="F253" s="1"/>
      <c r="H253" s="1"/>
      <c r="I253" s="1"/>
    </row>
    <row r="254" spans="1:9">
      <c r="A254" s="4"/>
      <c r="B254" s="5"/>
      <c r="C254" s="11"/>
      <c r="D254" s="1"/>
      <c r="E254" s="1"/>
      <c r="F254" s="1"/>
      <c r="H254" s="1"/>
      <c r="I254" s="1"/>
    </row>
    <row r="255" spans="1:9">
      <c r="A255" s="4"/>
      <c r="B255" s="5"/>
      <c r="C255" s="11"/>
      <c r="D255" s="1"/>
      <c r="E255" s="1"/>
      <c r="F255" s="1"/>
      <c r="H255" s="1"/>
      <c r="I255" s="1"/>
    </row>
    <row r="256" spans="1:9">
      <c r="A256" s="4"/>
      <c r="B256" s="5"/>
      <c r="C256" s="11"/>
      <c r="D256" s="1"/>
      <c r="E256" s="1"/>
      <c r="F256" s="1"/>
      <c r="H256" s="1"/>
      <c r="I256" s="1"/>
    </row>
    <row r="257" spans="1:9">
      <c r="A257" s="4"/>
      <c r="B257" s="5"/>
      <c r="C257" s="11"/>
      <c r="D257" s="1"/>
      <c r="E257" s="1"/>
      <c r="F257" s="1"/>
      <c r="H257" s="1"/>
      <c r="I257" s="1"/>
    </row>
    <row r="258" spans="1:9">
      <c r="A258" s="4"/>
      <c r="B258" s="5"/>
      <c r="C258" s="11"/>
      <c r="D258" s="1"/>
      <c r="E258" s="1"/>
      <c r="F258" s="1"/>
      <c r="H258" s="1"/>
      <c r="I258" s="1"/>
    </row>
    <row r="259" spans="1:9">
      <c r="A259" s="4"/>
      <c r="B259" s="5"/>
      <c r="C259" s="11"/>
      <c r="D259" s="1"/>
      <c r="E259" s="1"/>
      <c r="F259" s="1"/>
      <c r="H259" s="1"/>
      <c r="I259" s="1"/>
    </row>
    <row r="260" spans="1:9">
      <c r="A260" s="4"/>
      <c r="B260" s="5"/>
      <c r="C260" s="11"/>
      <c r="D260" s="1"/>
      <c r="E260" s="1"/>
      <c r="F260" s="1"/>
      <c r="H260" s="1"/>
      <c r="I260" s="1"/>
    </row>
    <row r="261" spans="1:9">
      <c r="A261" s="4"/>
      <c r="B261" s="5"/>
      <c r="C261" s="11"/>
      <c r="D261" s="1"/>
      <c r="E261" s="1"/>
      <c r="F261" s="1"/>
      <c r="H261" s="1"/>
      <c r="I261" s="1"/>
    </row>
    <row r="262" spans="1:9">
      <c r="A262" s="4"/>
      <c r="B262" s="5"/>
      <c r="C262" s="11"/>
      <c r="D262" s="1"/>
      <c r="E262" s="1"/>
      <c r="F262" s="1"/>
      <c r="H262" s="1"/>
      <c r="I262" s="1"/>
    </row>
    <row r="263" spans="1:9">
      <c r="A263" s="4"/>
      <c r="B263" s="5"/>
      <c r="C263" s="11"/>
      <c r="D263" s="1"/>
      <c r="E263" s="1"/>
      <c r="F263" s="1"/>
      <c r="H263" s="1"/>
      <c r="I263" s="1"/>
    </row>
    <row r="264" spans="1:9">
      <c r="A264" s="4"/>
      <c r="B264" s="5"/>
      <c r="C264" s="11"/>
      <c r="D264" s="1"/>
      <c r="E264" s="1"/>
      <c r="F264" s="1"/>
      <c r="H264" s="1"/>
      <c r="I264" s="1"/>
    </row>
    <row r="265" spans="1:9">
      <c r="A265" s="4"/>
      <c r="B265" s="5"/>
      <c r="C265" s="11"/>
      <c r="D265" s="1"/>
      <c r="E265" s="1"/>
      <c r="F265" s="1"/>
      <c r="H265" s="1"/>
      <c r="I265" s="1"/>
    </row>
    <row r="266" spans="1:9">
      <c r="A266" s="4"/>
      <c r="B266" s="5"/>
      <c r="C266" s="11"/>
      <c r="D266" s="1"/>
      <c r="E266" s="1"/>
      <c r="F266" s="1"/>
      <c r="H266" s="1"/>
      <c r="I266" s="1"/>
    </row>
    <row r="267" spans="1:9">
      <c r="A267" s="4"/>
      <c r="B267" s="5"/>
      <c r="C267" s="11"/>
      <c r="D267" s="1"/>
      <c r="E267" s="1"/>
      <c r="F267" s="1"/>
      <c r="H267" s="1"/>
      <c r="I267" s="1"/>
    </row>
    <row r="268" spans="1:9">
      <c r="A268" s="4"/>
      <c r="B268" s="5"/>
      <c r="C268" s="11"/>
      <c r="D268" s="1"/>
      <c r="E268" s="1"/>
      <c r="F268" s="1"/>
      <c r="H268" s="1"/>
      <c r="I268" s="1"/>
    </row>
    <row r="269" spans="1:9">
      <c r="A269" s="4"/>
      <c r="B269" s="5"/>
      <c r="C269" s="11"/>
      <c r="D269" s="1"/>
      <c r="E269" s="1"/>
      <c r="F269" s="1"/>
      <c r="H269" s="1"/>
      <c r="I269" s="1"/>
    </row>
    <row r="270" spans="1:9">
      <c r="A270" s="4"/>
      <c r="B270" s="5"/>
      <c r="C270" s="11"/>
      <c r="D270" s="1"/>
      <c r="E270" s="1"/>
      <c r="F270" s="1"/>
      <c r="H270" s="1"/>
      <c r="I270" s="1"/>
    </row>
    <row r="271" spans="1:9">
      <c r="A271" s="4"/>
      <c r="B271" s="5"/>
      <c r="C271" s="11"/>
      <c r="D271" s="1"/>
      <c r="E271" s="1"/>
      <c r="F271" s="1"/>
      <c r="H271" s="1"/>
      <c r="I271" s="1"/>
    </row>
    <row r="272" spans="1:9">
      <c r="A272" s="4"/>
      <c r="B272" s="5"/>
      <c r="C272" s="11"/>
      <c r="D272" s="1"/>
      <c r="E272" s="1"/>
      <c r="F272" s="1"/>
      <c r="H272" s="1"/>
      <c r="I272" s="1"/>
    </row>
    <row r="273" spans="1:9">
      <c r="A273" s="4"/>
      <c r="B273" s="5"/>
      <c r="C273" s="11"/>
      <c r="D273" s="1"/>
      <c r="E273" s="1"/>
      <c r="F273" s="1"/>
      <c r="H273" s="1"/>
      <c r="I273" s="1"/>
    </row>
    <row r="274" spans="1:9">
      <c r="A274" s="4"/>
      <c r="B274" s="5"/>
      <c r="C274" s="11"/>
      <c r="D274" s="1"/>
      <c r="E274" s="1"/>
      <c r="F274" s="1"/>
      <c r="H274" s="1"/>
      <c r="I274" s="1"/>
    </row>
    <row r="275" spans="1:9">
      <c r="A275" s="4"/>
      <c r="B275" s="5"/>
      <c r="C275" s="11"/>
      <c r="D275" s="1"/>
      <c r="E275" s="1"/>
      <c r="F275" s="1"/>
      <c r="H275" s="1"/>
      <c r="I275" s="1"/>
    </row>
    <row r="276" spans="1:9">
      <c r="A276" s="4"/>
      <c r="B276" s="5"/>
      <c r="C276" s="11"/>
      <c r="D276" s="1"/>
      <c r="E276" s="1"/>
      <c r="F276" s="1"/>
      <c r="H276" s="1"/>
      <c r="I276" s="1"/>
    </row>
    <row r="277" spans="1:9">
      <c r="A277" s="4"/>
      <c r="B277" s="5"/>
      <c r="C277" s="11"/>
      <c r="D277" s="1"/>
      <c r="E277" s="1"/>
      <c r="F277" s="1"/>
      <c r="H277" s="1"/>
      <c r="I277" s="1"/>
    </row>
    <row r="278" spans="1:9">
      <c r="A278" s="4"/>
      <c r="B278" s="5"/>
      <c r="C278" s="11"/>
      <c r="D278" s="1"/>
      <c r="E278" s="1"/>
      <c r="F278" s="1"/>
      <c r="H278" s="1"/>
      <c r="I278" s="1"/>
    </row>
    <row r="279" spans="1:9">
      <c r="A279" s="4"/>
      <c r="B279" s="5"/>
      <c r="C279" s="11"/>
      <c r="D279" s="1"/>
      <c r="E279" s="1"/>
      <c r="F279" s="1"/>
      <c r="H279" s="1"/>
      <c r="I279" s="1"/>
    </row>
    <row r="280" spans="1:9">
      <c r="A280" s="4"/>
      <c r="B280" s="5"/>
      <c r="C280" s="11"/>
      <c r="D280" s="1"/>
      <c r="E280" s="1"/>
      <c r="F280" s="1"/>
      <c r="H280" s="1"/>
      <c r="I280" s="1"/>
    </row>
    <row r="281" spans="1:9">
      <c r="A281" s="4"/>
      <c r="B281" s="5"/>
      <c r="C281" s="11"/>
      <c r="D281" s="1"/>
      <c r="E281" s="1"/>
      <c r="F281" s="1"/>
      <c r="H281" s="1"/>
      <c r="I281" s="1"/>
    </row>
    <row r="282" spans="1:9">
      <c r="A282" s="4"/>
      <c r="B282" s="5"/>
      <c r="C282" s="11"/>
      <c r="D282" s="1"/>
      <c r="E282" s="1"/>
      <c r="F282" s="1"/>
      <c r="H282" s="1"/>
      <c r="I282" s="1"/>
    </row>
    <row r="283" spans="1:9">
      <c r="A283" s="4"/>
      <c r="B283" s="5"/>
      <c r="C283" s="11"/>
      <c r="D283" s="1"/>
      <c r="E283" s="1"/>
      <c r="F283" s="1"/>
      <c r="H283" s="1"/>
      <c r="I283" s="1"/>
    </row>
    <row r="284" spans="1:9">
      <c r="A284" s="4"/>
      <c r="B284" s="5"/>
      <c r="C284" s="11"/>
      <c r="D284" s="1"/>
      <c r="E284" s="1"/>
      <c r="F284" s="1"/>
      <c r="H284" s="1"/>
      <c r="I284" s="1"/>
    </row>
    <row r="285" spans="1:9">
      <c r="A285" s="4"/>
      <c r="B285" s="5"/>
      <c r="C285" s="11"/>
      <c r="D285" s="1"/>
      <c r="E285" s="1"/>
      <c r="F285" s="1"/>
      <c r="H285" s="1"/>
      <c r="I285" s="1"/>
    </row>
    <row r="286" spans="1:9">
      <c r="A286" s="4"/>
      <c r="B286" s="5"/>
      <c r="C286" s="11"/>
      <c r="D286" s="1"/>
      <c r="E286" s="1"/>
      <c r="F286" s="1"/>
      <c r="H286" s="1"/>
      <c r="I286" s="1"/>
    </row>
    <row r="287" spans="1:9">
      <c r="A287" s="4"/>
      <c r="B287" s="5"/>
      <c r="C287" s="11"/>
      <c r="D287" s="1"/>
      <c r="E287" s="1"/>
      <c r="F287" s="1"/>
      <c r="H287" s="1"/>
      <c r="I287" s="1"/>
    </row>
    <row r="288" spans="1:9">
      <c r="A288" s="4"/>
      <c r="B288" s="5"/>
      <c r="C288" s="11"/>
      <c r="D288" s="1"/>
      <c r="E288" s="1"/>
      <c r="F288" s="1"/>
      <c r="H288" s="1"/>
      <c r="I288" s="1"/>
    </row>
    <row r="289" spans="1:9">
      <c r="A289" s="4"/>
      <c r="B289" s="5"/>
      <c r="C289" s="11"/>
      <c r="D289" s="1"/>
      <c r="E289" s="1"/>
      <c r="F289" s="1"/>
      <c r="H289" s="1"/>
      <c r="I289" s="1"/>
    </row>
    <row r="290" spans="1:9">
      <c r="A290" s="4"/>
      <c r="B290" s="5"/>
      <c r="C290" s="11"/>
      <c r="D290" s="1"/>
      <c r="E290" s="1"/>
      <c r="F290" s="1"/>
      <c r="H290" s="1"/>
      <c r="I290" s="1"/>
    </row>
    <row r="291" spans="1:9">
      <c r="A291" s="4"/>
      <c r="B291" s="5"/>
      <c r="C291" s="11"/>
      <c r="D291" s="1"/>
      <c r="E291" s="1"/>
      <c r="F291" s="1"/>
      <c r="H291" s="1"/>
      <c r="I291" s="1"/>
    </row>
    <row r="292" spans="1:9">
      <c r="A292" s="4"/>
      <c r="B292" s="5"/>
      <c r="C292" s="11"/>
      <c r="D292" s="1"/>
      <c r="E292" s="1"/>
      <c r="F292" s="1"/>
      <c r="H292" s="1"/>
      <c r="I292" s="1"/>
    </row>
    <row r="293" spans="1:9">
      <c r="A293" s="4"/>
      <c r="B293" s="5"/>
      <c r="C293" s="11"/>
      <c r="D293" s="1"/>
      <c r="E293" s="1"/>
      <c r="F293" s="1"/>
      <c r="H293" s="1"/>
      <c r="I293" s="1"/>
    </row>
    <row r="294" spans="1:9">
      <c r="A294" s="4"/>
      <c r="B294" s="5"/>
      <c r="C294" s="11"/>
      <c r="D294" s="1"/>
      <c r="E294" s="1"/>
      <c r="F294" s="1"/>
      <c r="H294" s="1"/>
      <c r="I294" s="1"/>
    </row>
    <row r="295" spans="1:9">
      <c r="A295" s="4"/>
      <c r="B295" s="5"/>
      <c r="C295" s="11"/>
      <c r="D295" s="1"/>
      <c r="E295" s="1"/>
      <c r="F295" s="1"/>
      <c r="H295" s="1"/>
      <c r="I295" s="1"/>
    </row>
    <row r="296" spans="1:9">
      <c r="A296" s="4"/>
      <c r="B296" s="5"/>
      <c r="C296" s="11"/>
      <c r="D296" s="1"/>
      <c r="E296" s="1"/>
      <c r="F296" s="1"/>
      <c r="H296" s="1"/>
      <c r="I296" s="1"/>
    </row>
    <row r="297" spans="1:9">
      <c r="A297" s="4"/>
      <c r="B297" s="5"/>
      <c r="C297" s="11"/>
      <c r="D297" s="1"/>
      <c r="E297" s="1"/>
      <c r="F297" s="1"/>
      <c r="H297" s="1"/>
      <c r="I297" s="1"/>
    </row>
    <row r="298" spans="1:9">
      <c r="A298" s="4"/>
      <c r="B298" s="5"/>
      <c r="C298" s="11"/>
      <c r="D298" s="1"/>
      <c r="E298" s="1"/>
      <c r="F298" s="1"/>
      <c r="H298" s="1"/>
      <c r="I298" s="1"/>
    </row>
    <row r="299" spans="1:9">
      <c r="A299" s="4"/>
      <c r="B299" s="5"/>
      <c r="C299" s="11"/>
      <c r="D299" s="1"/>
      <c r="E299" s="1"/>
      <c r="F299" s="1"/>
      <c r="H299" s="1"/>
      <c r="I299" s="1"/>
    </row>
    <row r="300" spans="1:9">
      <c r="A300" s="4"/>
      <c r="B300" s="5"/>
      <c r="C300" s="11"/>
      <c r="D300" s="1"/>
      <c r="E300" s="1"/>
      <c r="F300" s="1"/>
      <c r="H300" s="1"/>
      <c r="I300" s="1"/>
    </row>
    <row r="301" spans="1:9">
      <c r="A301" s="4"/>
      <c r="B301" s="5"/>
      <c r="C301" s="11"/>
      <c r="D301" s="1"/>
      <c r="E301" s="1"/>
      <c r="F301" s="1"/>
      <c r="H301" s="1"/>
      <c r="I301" s="1"/>
    </row>
    <row r="302" spans="1:9">
      <c r="A302" s="4"/>
      <c r="B302" s="5"/>
      <c r="C302" s="11"/>
      <c r="D302" s="1"/>
      <c r="E302" s="1"/>
      <c r="F302" s="1"/>
      <c r="H302" s="1"/>
      <c r="I302" s="1"/>
    </row>
    <row r="303" spans="1:9">
      <c r="A303" s="4"/>
      <c r="B303" s="5"/>
      <c r="C303" s="11"/>
      <c r="D303" s="1"/>
      <c r="E303" s="1"/>
      <c r="F303" s="1"/>
      <c r="H303" s="1"/>
      <c r="I303" s="1"/>
    </row>
    <row r="304" spans="1:9">
      <c r="A304" s="4"/>
      <c r="B304" s="5"/>
      <c r="C304" s="11"/>
      <c r="D304" s="1"/>
      <c r="E304" s="1"/>
      <c r="F304" s="1"/>
      <c r="H304" s="1"/>
      <c r="I304" s="1"/>
    </row>
    <row r="305" spans="1:9">
      <c r="A305" s="4"/>
      <c r="B305" s="5"/>
      <c r="C305" s="11"/>
      <c r="D305" s="1"/>
      <c r="E305" s="1"/>
      <c r="F305" s="1"/>
      <c r="H305" s="1"/>
      <c r="I305" s="1"/>
    </row>
    <row r="306" spans="1:9">
      <c r="A306" s="4"/>
      <c r="B306" s="5"/>
      <c r="C306" s="11"/>
      <c r="D306" s="1"/>
      <c r="E306" s="1"/>
      <c r="F306" s="1"/>
      <c r="H306" s="1"/>
      <c r="I306" s="1"/>
    </row>
    <row r="307" spans="1:9">
      <c r="A307" s="4"/>
      <c r="B307" s="5"/>
      <c r="C307" s="11"/>
      <c r="D307" s="1"/>
      <c r="E307" s="1"/>
      <c r="F307" s="1"/>
      <c r="H307" s="1"/>
      <c r="I307" s="1"/>
    </row>
    <row r="308" spans="1:9">
      <c r="A308" s="4"/>
      <c r="B308" s="5"/>
      <c r="C308" s="11"/>
      <c r="D308" s="1"/>
      <c r="E308" s="1"/>
      <c r="F308" s="1"/>
      <c r="H308" s="1"/>
      <c r="I308" s="1"/>
    </row>
    <row r="309" spans="1:9">
      <c r="A309" s="4"/>
      <c r="B309" s="5"/>
      <c r="C309" s="11"/>
      <c r="D309" s="1"/>
      <c r="E309" s="1"/>
      <c r="F309" s="1"/>
      <c r="H309" s="1"/>
      <c r="I309" s="1"/>
    </row>
    <row r="310" spans="1:9">
      <c r="A310" s="4"/>
      <c r="B310" s="5"/>
      <c r="C310" s="11"/>
      <c r="D310" s="1"/>
      <c r="E310" s="1"/>
      <c r="F310" s="1"/>
      <c r="H310" s="1"/>
      <c r="I310" s="1"/>
    </row>
    <row r="311" spans="1:9">
      <c r="A311" s="4"/>
      <c r="B311" s="5"/>
      <c r="C311" s="11"/>
      <c r="D311" s="1"/>
      <c r="E311" s="1"/>
      <c r="F311" s="1"/>
      <c r="H311" s="1"/>
      <c r="I311" s="1"/>
    </row>
    <row r="312" spans="1:9">
      <c r="A312" s="4"/>
      <c r="B312" s="5"/>
      <c r="C312" s="11"/>
      <c r="D312" s="1"/>
      <c r="E312" s="1"/>
      <c r="F312" s="1"/>
      <c r="H312" s="1"/>
      <c r="I312" s="1"/>
    </row>
    <row r="313" spans="1:9">
      <c r="A313" s="4"/>
      <c r="B313" s="5"/>
      <c r="C313" s="11"/>
      <c r="D313" s="1"/>
      <c r="E313" s="1"/>
      <c r="F313" s="1"/>
      <c r="H313" s="1"/>
      <c r="I313" s="1"/>
    </row>
    <row r="314" spans="1:9">
      <c r="A314" s="4"/>
      <c r="B314" s="5"/>
      <c r="C314" s="11"/>
      <c r="D314" s="1"/>
      <c r="E314" s="1"/>
      <c r="F314" s="1"/>
      <c r="H314" s="1"/>
      <c r="I314" s="1"/>
    </row>
    <row r="315" spans="1:9">
      <c r="A315" s="4"/>
      <c r="B315" s="5"/>
      <c r="C315" s="11"/>
      <c r="D315" s="1"/>
      <c r="E315" s="1"/>
      <c r="F315" s="1"/>
      <c r="H315" s="1"/>
      <c r="I315" s="1"/>
    </row>
    <row r="316" spans="1:9">
      <c r="A316" s="4"/>
      <c r="B316" s="5"/>
      <c r="C316" s="11"/>
      <c r="D316" s="1"/>
      <c r="E316" s="1"/>
      <c r="F316" s="1"/>
      <c r="H316" s="1"/>
      <c r="I316" s="1"/>
    </row>
    <row r="317" spans="1:9">
      <c r="A317" s="4"/>
      <c r="B317" s="5"/>
      <c r="C317" s="11"/>
      <c r="D317" s="1"/>
      <c r="E317" s="1"/>
      <c r="F317" s="1"/>
      <c r="H317" s="1"/>
      <c r="I317" s="1"/>
    </row>
    <row r="318" spans="1:9">
      <c r="A318" s="4"/>
      <c r="B318" s="5"/>
      <c r="C318" s="11"/>
      <c r="D318" s="1"/>
      <c r="E318" s="1"/>
      <c r="F318" s="1"/>
      <c r="H318" s="1"/>
      <c r="I318" s="1"/>
    </row>
    <row r="319" spans="1:9">
      <c r="A319" s="4"/>
      <c r="B319" s="5"/>
      <c r="C319" s="11"/>
      <c r="D319" s="1"/>
      <c r="E319" s="1"/>
      <c r="F319" s="1"/>
      <c r="H319" s="1"/>
      <c r="I319" s="1"/>
    </row>
  </sheetData>
  <autoFilter ref="A12:J218"/>
  <mergeCells count="13">
    <mergeCell ref="A222:G222"/>
    <mergeCell ref="A220:G220"/>
    <mergeCell ref="B10:B11"/>
    <mergeCell ref="A1:I4"/>
    <mergeCell ref="A5:G5"/>
    <mergeCell ref="D9:D11"/>
    <mergeCell ref="E9:G9"/>
    <mergeCell ref="E10:E11"/>
    <mergeCell ref="F10:F11"/>
    <mergeCell ref="G10:G11"/>
    <mergeCell ref="A8:G8"/>
    <mergeCell ref="A7:G7"/>
    <mergeCell ref="A6:G6"/>
  </mergeCells>
  <phoneticPr fontId="0" type="noConversion"/>
  <printOptions horizontalCentered="1"/>
  <pageMargins left="0.98425196850393704" right="0.59055118110236227" top="0.98425196850393704" bottom="0.98425196850393704" header="0.51181102362204722" footer="0.51181102362204722"/>
  <pageSetup paperSize="9" scale="88" orientation="portrait" r:id="rId1"/>
  <headerFooter>
    <oddHeader xml:space="preserve">&amp;RPrzedmiar Robót
</oddHeader>
    <oddFooter>&amp;L&amp;"Czcionka tekstu podstawowego,Kursywa"&amp;10Remont mostu nad rzeką Krępianką w km 40+350 drogi wojewódzkiej nr 754 w m. Solec nad Wisłą        &amp;R&amp;"Czcionka tekstu podstawowego,Kursywa"&amp;10strona &amp;P</oddFooter>
  </headerFooter>
  <rowBreaks count="7" manualBreakCount="7">
    <brk id="44" max="7" man="1"/>
    <brk id="67" max="7" man="1"/>
    <brk id="96" max="7" man="1"/>
    <brk id="115" max="7" man="1"/>
    <brk id="153" max="7" man="1"/>
    <brk id="188" max="7" man="1"/>
    <brk id="214" max="7" man="1"/>
  </rowBreaks>
  <colBreaks count="1" manualBreakCount="1">
    <brk id="7" max="22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4</vt:i4>
      </vt:variant>
    </vt:vector>
  </HeadingPairs>
  <TitlesOfParts>
    <vt:vector size="5" baseType="lpstr">
      <vt:lpstr>przedmiar</vt:lpstr>
      <vt:lpstr>przedmiar!katalog_2</vt:lpstr>
      <vt:lpstr>przedmiar!katalog_3</vt:lpstr>
      <vt:lpstr>przedmiar!Obszar_wydruku</vt:lpstr>
      <vt:lpstr>przedmiar!Tytuły_wydruku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dc:creator>
  <cp:lastModifiedBy>HP Zbook</cp:lastModifiedBy>
  <cp:lastPrinted>2024-08-31T15:17:40Z</cp:lastPrinted>
  <dcterms:created xsi:type="dcterms:W3CDTF">2008-05-15T13:17:11Z</dcterms:created>
  <dcterms:modified xsi:type="dcterms:W3CDTF">2024-08-31T15:32:09Z</dcterms:modified>
</cp:coreProperties>
</file>