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ZETARGI\2024\5. Udzielenie kredytu\na platformę\"/>
    </mc:Choice>
  </mc:AlternateContent>
  <xr:revisionPtr revIDLastSave="0" documentId="13_ncr:1_{A03DAFD4-90AC-4018-9C96-239F28897517}" xr6:coauthVersionLast="47" xr6:coauthVersionMax="47" xr10:uidLastSave="{00000000-0000-0000-0000-000000000000}"/>
  <bookViews>
    <workbookView xWindow="-120" yWindow="-120" windowWidth="29040" windowHeight="15720" tabRatio="685" firstSheet="9" activeTab="9" xr2:uid="{00000000-000D-0000-FFFF-FFFF00000000}"/>
  </bookViews>
  <sheets>
    <sheet name="TOTAL" sheetId="1" r:id="rId1"/>
    <sheet name="Arkusz1" sheetId="15" r:id="rId2"/>
    <sheet name="dług WPF" sheetId="13" r:id="rId3"/>
    <sheet name="WF-GW.e2" sheetId="2" r:id="rId4"/>
    <sheet name="WF-GW.e3" sheetId="11" r:id="rId5"/>
    <sheet name="BS-pałac" sheetId="14" r:id="rId6"/>
    <sheet name="BS-SP" sheetId="4" r:id="rId7"/>
    <sheet name="BS-d17" sheetId="10" r:id="rId8"/>
    <sheet name="BS-i16" sheetId="5" r:id="rId9"/>
    <sheet name="załącznik 2A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8" l="1"/>
  <c r="C67" i="18"/>
  <c r="E26" i="18" l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 s="1"/>
  <c r="E64" i="18" s="1"/>
  <c r="E65" i="18" s="1"/>
  <c r="E66" i="18" s="1"/>
  <c r="D26" i="18"/>
  <c r="E23" i="18"/>
  <c r="E24" i="18" s="1"/>
  <c r="E25" i="18" s="1"/>
  <c r="F69" i="18" l="1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23" i="18" l="1"/>
  <c r="D24" i="18"/>
  <c r="D25" i="18"/>
  <c r="C14" i="18"/>
  <c r="G26" i="18" s="1"/>
  <c r="H26" i="18" s="1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G24" i="18" l="1"/>
  <c r="H24" i="18" s="1"/>
  <c r="H23" i="18"/>
  <c r="G25" i="18" l="1"/>
  <c r="H25" i="18" s="1"/>
  <c r="I24" i="18" s="1"/>
  <c r="G27" i="18" l="1"/>
  <c r="I25" i="18" s="1"/>
  <c r="G28" i="18" l="1"/>
  <c r="H28" i="18" s="1"/>
  <c r="H27" i="18"/>
  <c r="Q51" i="1"/>
  <c r="E9" i="14"/>
  <c r="N50" i="1"/>
  <c r="M50" i="1"/>
  <c r="J50" i="1"/>
  <c r="I50" i="1"/>
  <c r="H50" i="1"/>
  <c r="G50" i="1"/>
  <c r="F50" i="1"/>
  <c r="E50" i="1"/>
  <c r="D50" i="1"/>
  <c r="B50" i="1"/>
  <c r="G29" i="18" l="1"/>
  <c r="H29" i="18" s="1"/>
  <c r="Q52" i="1"/>
  <c r="R48" i="1"/>
  <c r="N47" i="1"/>
  <c r="N48" i="1" s="1"/>
  <c r="N45" i="1"/>
  <c r="M48" i="1"/>
  <c r="M47" i="1"/>
  <c r="J48" i="1"/>
  <c r="J47" i="1"/>
  <c r="I48" i="1"/>
  <c r="I47" i="1"/>
  <c r="H48" i="1"/>
  <c r="H47" i="1"/>
  <c r="G48" i="1"/>
  <c r="G47" i="1"/>
  <c r="F48" i="1"/>
  <c r="F47" i="1"/>
  <c r="E48" i="1"/>
  <c r="E47" i="1"/>
  <c r="D48" i="1"/>
  <c r="D47" i="1"/>
  <c r="B48" i="1"/>
  <c r="B47" i="1"/>
  <c r="B44" i="1"/>
  <c r="G30" i="18" l="1"/>
  <c r="H30" i="18" s="1"/>
  <c r="I28" i="18" s="1"/>
  <c r="C45" i="1"/>
  <c r="K45" i="1"/>
  <c r="L45" i="1"/>
  <c r="O45" i="1"/>
  <c r="G31" i="18" l="1"/>
  <c r="I29" i="18" s="1"/>
  <c r="N51" i="1"/>
  <c r="H31" i="18" l="1"/>
  <c r="G32" i="18"/>
  <c r="H32" i="18" s="1"/>
  <c r="M44" i="1"/>
  <c r="J44" i="1"/>
  <c r="I44" i="1"/>
  <c r="H44" i="1"/>
  <c r="G44" i="1"/>
  <c r="F44" i="1"/>
  <c r="E44" i="1"/>
  <c r="D44" i="1"/>
  <c r="G33" i="18" l="1"/>
  <c r="H33" i="18" s="1"/>
  <c r="T44" i="1"/>
  <c r="R44" i="1"/>
  <c r="Q44" i="1"/>
  <c r="P44" i="1"/>
  <c r="T21" i="15"/>
  <c r="G34" i="18" l="1"/>
  <c r="H34" i="18" s="1"/>
  <c r="I32" i="18" s="1"/>
  <c r="B14" i="15"/>
  <c r="B15" i="15"/>
  <c r="B22" i="15" s="1"/>
  <c r="I5" i="15"/>
  <c r="J5" i="15" s="1"/>
  <c r="M5" i="15"/>
  <c r="L4" i="15"/>
  <c r="L3" i="15"/>
  <c r="E5" i="15"/>
  <c r="I4" i="15"/>
  <c r="J4" i="15" s="1"/>
  <c r="E4" i="15"/>
  <c r="I3" i="15"/>
  <c r="J3" i="15" s="1"/>
  <c r="E3" i="15"/>
  <c r="G36" i="1"/>
  <c r="I36" i="1"/>
  <c r="J36" i="1"/>
  <c r="M36" i="1"/>
  <c r="F36" i="1"/>
  <c r="K36" i="1"/>
  <c r="E36" i="1"/>
  <c r="H36" i="1"/>
  <c r="D36" i="1"/>
  <c r="B36" i="1"/>
  <c r="G35" i="18" l="1"/>
  <c r="P5" i="15"/>
  <c r="P4" i="15"/>
  <c r="P3" i="15"/>
  <c r="B1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I10" i="14"/>
  <c r="D10" i="14"/>
  <c r="I9" i="14"/>
  <c r="I12" i="14" s="1"/>
  <c r="D9" i="14"/>
  <c r="E10" i="14"/>
  <c r="I33" i="18" l="1"/>
  <c r="H35" i="18"/>
  <c r="G36" i="18"/>
  <c r="H36" i="18" s="1"/>
  <c r="O47" i="1"/>
  <c r="P47" i="1" s="1"/>
  <c r="B11" i="14"/>
  <c r="E11" i="14" s="1"/>
  <c r="O51" i="1" s="1"/>
  <c r="M35" i="13"/>
  <c r="G37" i="18" l="1"/>
  <c r="H37" i="18" s="1"/>
  <c r="D11" i="14"/>
  <c r="B12" i="14"/>
  <c r="O48" i="1"/>
  <c r="O50" i="1"/>
  <c r="P50" i="1" s="1"/>
  <c r="L35" i="1"/>
  <c r="L36" i="1" s="1"/>
  <c r="I35" i="1"/>
  <c r="J35" i="1"/>
  <c r="K35" i="1"/>
  <c r="M35" i="1"/>
  <c r="H35" i="1"/>
  <c r="G35" i="1"/>
  <c r="F35" i="1"/>
  <c r="E35" i="1"/>
  <c r="D35" i="1"/>
  <c r="B35" i="1"/>
  <c r="G38" i="18" l="1"/>
  <c r="H38" i="18" s="1"/>
  <c r="I36" i="18" s="1"/>
  <c r="R35" i="1"/>
  <c r="P48" i="1"/>
  <c r="S48" i="1"/>
  <c r="P49" i="1"/>
  <c r="Q35" i="1"/>
  <c r="R36" i="1"/>
  <c r="Q36" i="1"/>
  <c r="L5" i="15"/>
  <c r="N5" i="15" s="1"/>
  <c r="D15" i="14"/>
  <c r="D19" i="14"/>
  <c r="E12" i="14"/>
  <c r="E13" i="14" s="1"/>
  <c r="E14" i="14" s="1"/>
  <c r="E15" i="14" s="1"/>
  <c r="E16" i="14" s="1"/>
  <c r="E17" i="14" s="1"/>
  <c r="E18" i="14" s="1"/>
  <c r="E19" i="14" s="1"/>
  <c r="E20" i="14" s="1"/>
  <c r="D13" i="14"/>
  <c r="D20" i="14"/>
  <c r="D12" i="14"/>
  <c r="D17" i="14"/>
  <c r="D16" i="14"/>
  <c r="D14" i="14"/>
  <c r="D18" i="14"/>
  <c r="G27" i="13"/>
  <c r="G32" i="13"/>
  <c r="F17" i="13"/>
  <c r="F18" i="13"/>
  <c r="F19" i="13"/>
  <c r="H19" i="13" s="1"/>
  <c r="F20" i="13"/>
  <c r="H20" i="13" s="1"/>
  <c r="I20" i="13" s="1"/>
  <c r="F21" i="13"/>
  <c r="H21" i="13" s="1"/>
  <c r="F22" i="13"/>
  <c r="H22" i="13" s="1"/>
  <c r="I22" i="13" s="1"/>
  <c r="F23" i="13"/>
  <c r="H23" i="13" s="1"/>
  <c r="F24" i="13"/>
  <c r="H24" i="13" s="1"/>
  <c r="I24" i="13" s="1"/>
  <c r="F25" i="13"/>
  <c r="F26" i="13"/>
  <c r="H26" i="13" s="1"/>
  <c r="F16" i="13"/>
  <c r="H16" i="13" s="1"/>
  <c r="G39" i="18" l="1"/>
  <c r="I37" i="18" s="1"/>
  <c r="I26" i="13"/>
  <c r="H18" i="13"/>
  <c r="I18" i="13" s="1"/>
  <c r="I21" i="13"/>
  <c r="H25" i="13"/>
  <c r="I25" i="13" s="1"/>
  <c r="H17" i="13"/>
  <c r="I17" i="13" s="1"/>
  <c r="I19" i="13"/>
  <c r="I23" i="13"/>
  <c r="I16" i="13"/>
  <c r="L38" i="1"/>
  <c r="C38" i="1"/>
  <c r="L41" i="1"/>
  <c r="E9" i="11"/>
  <c r="E10" i="11" s="1"/>
  <c r="E11" i="11" s="1"/>
  <c r="E12" i="11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9" i="5"/>
  <c r="E10" i="5" s="1"/>
  <c r="E11" i="5" s="1"/>
  <c r="E12" i="5" s="1"/>
  <c r="E13" i="5" s="1"/>
  <c r="E14" i="5" s="1"/>
  <c r="E15" i="5" s="1"/>
  <c r="E16" i="5" s="1"/>
  <c r="E9" i="10"/>
  <c r="E10" i="10" s="1"/>
  <c r="E11" i="10" s="1"/>
  <c r="E12" i="10" s="1"/>
  <c r="K33" i="1"/>
  <c r="K34" i="1" s="1"/>
  <c r="E9" i="4"/>
  <c r="E10" i="4" s="1"/>
  <c r="E11" i="4" s="1"/>
  <c r="E12" i="4" s="1"/>
  <c r="E13" i="4" s="1"/>
  <c r="E14" i="4" s="1"/>
  <c r="E15" i="4" s="1"/>
  <c r="M33" i="1"/>
  <c r="M34" i="1" s="1"/>
  <c r="J33" i="1"/>
  <c r="J34" i="1" s="1"/>
  <c r="I33" i="1"/>
  <c r="I34" i="1" s="1"/>
  <c r="H34" i="1"/>
  <c r="H33" i="1"/>
  <c r="G34" i="1"/>
  <c r="G33" i="1"/>
  <c r="F34" i="1"/>
  <c r="F33" i="1"/>
  <c r="E34" i="1"/>
  <c r="E33" i="1"/>
  <c r="D33" i="1"/>
  <c r="B34" i="1"/>
  <c r="B33" i="1"/>
  <c r="H39" i="18" l="1"/>
  <c r="G40" i="18"/>
  <c r="H40" i="18" s="1"/>
  <c r="Q34" i="1"/>
  <c r="R33" i="1"/>
  <c r="E17" i="5"/>
  <c r="E40" i="2"/>
  <c r="K37" i="1"/>
  <c r="K38" i="1" s="1"/>
  <c r="E13" i="11"/>
  <c r="E16" i="4"/>
  <c r="E13" i="10"/>
  <c r="R34" i="1"/>
  <c r="Q33" i="1"/>
  <c r="H27" i="13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M19" i="1"/>
  <c r="M18" i="1"/>
  <c r="M17" i="1"/>
  <c r="M16" i="1"/>
  <c r="M15" i="1"/>
  <c r="M45" i="1" s="1"/>
  <c r="K14" i="1"/>
  <c r="K13" i="1"/>
  <c r="K12" i="1"/>
  <c r="K11" i="1"/>
  <c r="K10" i="1"/>
  <c r="K9" i="1"/>
  <c r="K8" i="1"/>
  <c r="K7" i="1"/>
  <c r="K6" i="1"/>
  <c r="K5" i="1"/>
  <c r="Q5" i="1" s="1"/>
  <c r="K4" i="1"/>
  <c r="Q4" i="1" s="1"/>
  <c r="K3" i="1"/>
  <c r="Q3" i="1" s="1"/>
  <c r="K2" i="1"/>
  <c r="J15" i="1"/>
  <c r="J45" i="1" s="1"/>
  <c r="J14" i="1"/>
  <c r="J13" i="1"/>
  <c r="J12" i="1"/>
  <c r="J11" i="1"/>
  <c r="J10" i="1"/>
  <c r="J9" i="1"/>
  <c r="J8" i="1"/>
  <c r="I15" i="1"/>
  <c r="I45" i="1" s="1"/>
  <c r="I14" i="1"/>
  <c r="I13" i="1"/>
  <c r="I12" i="1"/>
  <c r="I11" i="1"/>
  <c r="I10" i="1"/>
  <c r="I9" i="1"/>
  <c r="G41" i="18" l="1"/>
  <c r="H41" i="18" s="1"/>
  <c r="E14" i="11"/>
  <c r="E15" i="11" s="1"/>
  <c r="E16" i="11" s="1"/>
  <c r="D37" i="1"/>
  <c r="D38" i="1" s="1"/>
  <c r="E18" i="5"/>
  <c r="E19" i="5" s="1"/>
  <c r="E20" i="5" s="1"/>
  <c r="G37" i="1"/>
  <c r="G38" i="1" s="1"/>
  <c r="E14" i="10"/>
  <c r="E15" i="10" s="1"/>
  <c r="E16" i="10" s="1"/>
  <c r="F37" i="1"/>
  <c r="F38" i="1" s="1"/>
  <c r="E41" i="2"/>
  <c r="E42" i="2" s="1"/>
  <c r="E43" i="2" s="1"/>
  <c r="B37" i="1"/>
  <c r="B38" i="1" s="1"/>
  <c r="I25" i="2"/>
  <c r="H37" i="1"/>
  <c r="H38" i="1" s="1"/>
  <c r="M37" i="1"/>
  <c r="M38" i="1" s="1"/>
  <c r="I37" i="1"/>
  <c r="I38" i="1" s="1"/>
  <c r="J37" i="1"/>
  <c r="J38" i="1" s="1"/>
  <c r="E17" i="4"/>
  <c r="E18" i="4" s="1"/>
  <c r="E19" i="4" s="1"/>
  <c r="E37" i="1"/>
  <c r="I28" i="1"/>
  <c r="Q2" i="1"/>
  <c r="K28" i="1"/>
  <c r="M14" i="1"/>
  <c r="M28" i="1" s="1"/>
  <c r="J7" i="1"/>
  <c r="J28" i="1" s="1"/>
  <c r="H25" i="1"/>
  <c r="T25" i="1" s="1"/>
  <c r="H24" i="1"/>
  <c r="T24" i="1" s="1"/>
  <c r="H23" i="1"/>
  <c r="T23" i="1" s="1"/>
  <c r="H22" i="1"/>
  <c r="T22" i="1" s="1"/>
  <c r="H21" i="1"/>
  <c r="H19" i="1"/>
  <c r="H18" i="1"/>
  <c r="H17" i="1"/>
  <c r="H20" i="1"/>
  <c r="H16" i="1"/>
  <c r="H11" i="1"/>
  <c r="H12" i="1"/>
  <c r="H13" i="1"/>
  <c r="H14" i="1"/>
  <c r="H15" i="1"/>
  <c r="H10" i="1"/>
  <c r="H9" i="1"/>
  <c r="H8" i="1"/>
  <c r="J17" i="5"/>
  <c r="G20" i="1" s="1"/>
  <c r="J16" i="5"/>
  <c r="G19" i="1" s="1"/>
  <c r="J15" i="5"/>
  <c r="G18" i="1" s="1"/>
  <c r="J14" i="5"/>
  <c r="G17" i="1" s="1"/>
  <c r="J13" i="5"/>
  <c r="G16" i="1" s="1"/>
  <c r="J12" i="5"/>
  <c r="G15" i="1" s="1"/>
  <c r="J11" i="5"/>
  <c r="G14" i="1" s="1"/>
  <c r="J10" i="5"/>
  <c r="G13" i="1" s="1"/>
  <c r="J9" i="5"/>
  <c r="G12" i="1" s="1"/>
  <c r="J15" i="10"/>
  <c r="F19" i="1" s="1"/>
  <c r="J14" i="10"/>
  <c r="F18" i="1" s="1"/>
  <c r="J13" i="10"/>
  <c r="F17" i="1" s="1"/>
  <c r="J12" i="10"/>
  <c r="F16" i="1" s="1"/>
  <c r="J11" i="10"/>
  <c r="F15" i="1" s="1"/>
  <c r="J10" i="10"/>
  <c r="F14" i="1" s="1"/>
  <c r="J9" i="10"/>
  <c r="F13" i="1" s="1"/>
  <c r="K21" i="4"/>
  <c r="E25" i="1" s="1"/>
  <c r="K20" i="4"/>
  <c r="E24" i="1" s="1"/>
  <c r="K19" i="4"/>
  <c r="E23" i="1" s="1"/>
  <c r="K18" i="4"/>
  <c r="E22" i="1" s="1"/>
  <c r="Q22" i="1" s="1"/>
  <c r="K17" i="4"/>
  <c r="E21" i="1" s="1"/>
  <c r="K16" i="4"/>
  <c r="E20" i="1" s="1"/>
  <c r="K15" i="4"/>
  <c r="E19" i="1" s="1"/>
  <c r="K14" i="4"/>
  <c r="E18" i="1" s="1"/>
  <c r="K13" i="4"/>
  <c r="E17" i="1" s="1"/>
  <c r="K12" i="4"/>
  <c r="E16" i="1" s="1"/>
  <c r="K11" i="4"/>
  <c r="E15" i="1" s="1"/>
  <c r="K10" i="4"/>
  <c r="E14" i="1" s="1"/>
  <c r="K9" i="4"/>
  <c r="E13" i="1" s="1"/>
  <c r="K17" i="11"/>
  <c r="D21" i="1" s="1"/>
  <c r="K16" i="11"/>
  <c r="D20" i="1" s="1"/>
  <c r="K15" i="11"/>
  <c r="D19" i="1" s="1"/>
  <c r="T19" i="1" s="1"/>
  <c r="K14" i="11"/>
  <c r="D18" i="1" s="1"/>
  <c r="T18" i="1" s="1"/>
  <c r="K13" i="11"/>
  <c r="D17" i="1" s="1"/>
  <c r="K12" i="11"/>
  <c r="D16" i="1" s="1"/>
  <c r="K11" i="11"/>
  <c r="D15" i="1" s="1"/>
  <c r="K10" i="11"/>
  <c r="D14" i="1" s="1"/>
  <c r="K9" i="11"/>
  <c r="C13" i="1"/>
  <c r="C12" i="1"/>
  <c r="C11" i="1"/>
  <c r="C10" i="1"/>
  <c r="C9" i="1"/>
  <c r="C8" i="1"/>
  <c r="C7" i="1"/>
  <c r="C6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9" i="1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10" i="10"/>
  <c r="D9" i="10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9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9" i="4"/>
  <c r="D9" i="2"/>
  <c r="D10" i="2"/>
  <c r="D11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2" i="2"/>
  <c r="G42" i="18" l="1"/>
  <c r="H42" i="18" s="1"/>
  <c r="I40" i="18" s="1"/>
  <c r="F45" i="1"/>
  <c r="Q21" i="1"/>
  <c r="Q25" i="1"/>
  <c r="T14" i="1"/>
  <c r="Q17" i="1"/>
  <c r="T16" i="1"/>
  <c r="Q23" i="1"/>
  <c r="Q18" i="1"/>
  <c r="Q24" i="1"/>
  <c r="H45" i="1"/>
  <c r="M39" i="1"/>
  <c r="M41" i="1" s="1"/>
  <c r="A41" i="1" s="1"/>
  <c r="T41" i="1" s="1"/>
  <c r="E38" i="1"/>
  <c r="A38" i="1" s="1"/>
  <c r="M51" i="1"/>
  <c r="Q39" i="1"/>
  <c r="R39" i="1" s="1"/>
  <c r="S39" i="1" s="1"/>
  <c r="B17" i="15"/>
  <c r="D39" i="1"/>
  <c r="D41" i="1" s="1"/>
  <c r="D15" i="15"/>
  <c r="E15" i="15"/>
  <c r="E20" i="4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51" i="1"/>
  <c r="E44" i="2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B51" i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G51" i="1"/>
  <c r="E45" i="1"/>
  <c r="C15" i="15"/>
  <c r="Q15" i="1"/>
  <c r="B45" i="1"/>
  <c r="C14" i="15"/>
  <c r="Q19" i="1"/>
  <c r="I51" i="1"/>
  <c r="H51" i="1"/>
  <c r="Q16" i="1"/>
  <c r="D14" i="15"/>
  <c r="Q20" i="1"/>
  <c r="E14" i="15"/>
  <c r="T15" i="1"/>
  <c r="D45" i="1"/>
  <c r="G45" i="1"/>
  <c r="J51" i="1"/>
  <c r="E17" i="10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F51" i="1"/>
  <c r="E17" i="1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D51" i="1"/>
  <c r="T20" i="1"/>
  <c r="K19" i="11"/>
  <c r="T21" i="1"/>
  <c r="T17" i="1"/>
  <c r="E28" i="1"/>
  <c r="F28" i="1"/>
  <c r="H28" i="1"/>
  <c r="G28" i="1"/>
  <c r="Q14" i="1"/>
  <c r="Q7" i="1"/>
  <c r="B28" i="1"/>
  <c r="Q11" i="1"/>
  <c r="D13" i="1"/>
  <c r="Q13" i="1" s="1"/>
  <c r="K23" i="4"/>
  <c r="R2" i="1"/>
  <c r="R4" i="1"/>
  <c r="R5" i="1"/>
  <c r="R3" i="1"/>
  <c r="J17" i="10"/>
  <c r="Q8" i="1"/>
  <c r="Q12" i="1"/>
  <c r="Q10" i="1"/>
  <c r="Q6" i="1"/>
  <c r="C28" i="1"/>
  <c r="Q9" i="1"/>
  <c r="J19" i="5"/>
  <c r="G43" i="18" l="1"/>
  <c r="Q41" i="1"/>
  <c r="F14" i="15"/>
  <c r="A39" i="1"/>
  <c r="R45" i="1"/>
  <c r="P45" i="1"/>
  <c r="P46" i="1"/>
  <c r="S51" i="1"/>
  <c r="F15" i="15"/>
  <c r="R51" i="1"/>
  <c r="P51" i="1"/>
  <c r="P52" i="1"/>
  <c r="S45" i="1"/>
  <c r="F43" i="1"/>
  <c r="D28" i="1"/>
  <c r="R23" i="1" s="1"/>
  <c r="T13" i="1"/>
  <c r="R19" i="1"/>
  <c r="R11" i="1"/>
  <c r="R25" i="1"/>
  <c r="R20" i="1"/>
  <c r="R22" i="1"/>
  <c r="R21" i="1"/>
  <c r="R7" i="1"/>
  <c r="R17" i="1"/>
  <c r="R8" i="1"/>
  <c r="R6" i="1"/>
  <c r="R18" i="1"/>
  <c r="R9" i="1"/>
  <c r="R10" i="1"/>
  <c r="R13" i="1"/>
  <c r="R12" i="1"/>
  <c r="I41" i="18" l="1"/>
  <c r="H43" i="18"/>
  <c r="G44" i="18"/>
  <c r="H44" i="18" s="1"/>
  <c r="R16" i="1"/>
  <c r="R15" i="1"/>
  <c r="R14" i="1"/>
  <c r="R24" i="1"/>
  <c r="G45" i="18" l="1"/>
  <c r="H45" i="18" s="1"/>
  <c r="G46" i="18" l="1"/>
  <c r="H46" i="18" s="1"/>
  <c r="I44" i="18" s="1"/>
  <c r="G47" i="18" l="1"/>
  <c r="I45" i="18" s="1"/>
  <c r="H47" i="18" l="1"/>
  <c r="G48" i="18"/>
  <c r="H48" i="18" s="1"/>
  <c r="G49" i="18" l="1"/>
  <c r="H49" i="18" s="1"/>
  <c r="G50" i="18" l="1"/>
  <c r="H50" i="18" s="1"/>
  <c r="I48" i="18" s="1"/>
  <c r="G51" i="18" l="1"/>
  <c r="H51" i="18" l="1"/>
  <c r="I49" i="18"/>
  <c r="G52" i="18"/>
  <c r="H52" i="18" s="1"/>
  <c r="G53" i="18" l="1"/>
  <c r="H53" i="18" s="1"/>
  <c r="G54" i="18" l="1"/>
  <c r="H54" i="18" s="1"/>
  <c r="I52" i="18" s="1"/>
  <c r="G55" i="18" l="1"/>
  <c r="I53" i="18" s="1"/>
  <c r="H55" i="18" l="1"/>
  <c r="G56" i="18"/>
  <c r="H56" i="18" s="1"/>
  <c r="G57" i="18" l="1"/>
  <c r="H57" i="18" s="1"/>
  <c r="G58" i="18" l="1"/>
  <c r="H58" i="18" s="1"/>
  <c r="I56" i="18" s="1"/>
  <c r="G59" i="18" l="1"/>
  <c r="I57" i="18" s="1"/>
  <c r="H59" i="18" l="1"/>
  <c r="G60" i="18"/>
  <c r="H60" i="18" s="1"/>
  <c r="G61" i="18" l="1"/>
  <c r="H61" i="18" s="1"/>
  <c r="G62" i="18" l="1"/>
  <c r="H62" i="18" s="1"/>
  <c r="I60" i="18" s="1"/>
  <c r="G63" i="18" l="1"/>
  <c r="I61" i="18" s="1"/>
  <c r="H63" i="18" l="1"/>
  <c r="G64" i="18"/>
  <c r="H64" i="18" s="1"/>
  <c r="G65" i="18" l="1"/>
  <c r="H65" i="18" s="1"/>
  <c r="G66" i="18" l="1"/>
  <c r="H66" i="18" s="1"/>
  <c r="I64" i="18" l="1"/>
  <c r="H67" i="18"/>
  <c r="H70" i="18"/>
  <c r="C16" i="18" l="1"/>
  <c r="C18" i="18" s="1"/>
</calcChain>
</file>

<file path=xl/sharedStrings.xml><?xml version="1.0" encoding="utf-8"?>
<sst xmlns="http://schemas.openxmlformats.org/spreadsheetml/2006/main" count="532" uniqueCount="280">
  <si>
    <t>Kwota:</t>
  </si>
  <si>
    <t>Podjęcie pożyczki - rok:</t>
  </si>
  <si>
    <t>Pożyczkodawca:</t>
  </si>
  <si>
    <t>Wojewódzki Fundusz Ochrony Środowiska i Gospodarki Wodnej</t>
  </si>
  <si>
    <t>Przeznaczenie:</t>
  </si>
  <si>
    <t>Rozbudowa oczyszczalmi ścieków w Kiączynie wraz z siecią kanalizacji sanitarnej - etap II; pokrycie części wkładu własnego</t>
  </si>
  <si>
    <t>Zabezpieczenie:</t>
  </si>
  <si>
    <t>Weksel własny in blanco</t>
  </si>
  <si>
    <t>Okres spłaty w latach:</t>
  </si>
  <si>
    <t>2012 - 2026</t>
  </si>
  <si>
    <t>Nr raty</t>
  </si>
  <si>
    <t>Kwota w zł</t>
  </si>
  <si>
    <t>Termin spłaty do dnia</t>
  </si>
  <si>
    <t>20.03.2012</t>
  </si>
  <si>
    <t>20.06.2012</t>
  </si>
  <si>
    <t>20.03.2013</t>
  </si>
  <si>
    <t>20.06.2013</t>
  </si>
  <si>
    <t>20.06.2014</t>
  </si>
  <si>
    <t>20.09.2012</t>
  </si>
  <si>
    <t>20.12.2012</t>
  </si>
  <si>
    <t>20.09.2013</t>
  </si>
  <si>
    <t>20.12.2013</t>
  </si>
  <si>
    <t>20.03.2014</t>
  </si>
  <si>
    <t>20.03.2015</t>
  </si>
  <si>
    <t>20.06.2016</t>
  </si>
  <si>
    <t>20.09.2016</t>
  </si>
  <si>
    <t>20.12.2016</t>
  </si>
  <si>
    <t>20.03.2017</t>
  </si>
  <si>
    <t>20.06.2017</t>
  </si>
  <si>
    <t>20.09.2017</t>
  </si>
  <si>
    <t>20.12.2017</t>
  </si>
  <si>
    <t>20.03.2018</t>
  </si>
  <si>
    <t>20.06.2018</t>
  </si>
  <si>
    <t>20.09.2018</t>
  </si>
  <si>
    <t>20.12.2018</t>
  </si>
  <si>
    <t>20.03.2019</t>
  </si>
  <si>
    <t>20.06.2019</t>
  </si>
  <si>
    <t>20.09.2019</t>
  </si>
  <si>
    <t>20.12.2019</t>
  </si>
  <si>
    <t>20.03.2020</t>
  </si>
  <si>
    <t>20.09.2020</t>
  </si>
  <si>
    <t>20.03.2021</t>
  </si>
  <si>
    <t>20.09.2021</t>
  </si>
  <si>
    <t>20.12.2021</t>
  </si>
  <si>
    <t>20.03.2022</t>
  </si>
  <si>
    <t>20.06.2022</t>
  </si>
  <si>
    <t>20.09.2022</t>
  </si>
  <si>
    <t>20.12.2022</t>
  </si>
  <si>
    <t>20.03.2023</t>
  </si>
  <si>
    <t>20.06.2023</t>
  </si>
  <si>
    <t>20.09.2023</t>
  </si>
  <si>
    <t>20.12.2023</t>
  </si>
  <si>
    <t>20.03.2024</t>
  </si>
  <si>
    <t>20.06.2024</t>
  </si>
  <si>
    <t>20.09.2024</t>
  </si>
  <si>
    <t>20.12.2024</t>
  </si>
  <si>
    <t>20.03.2025</t>
  </si>
  <si>
    <t>20.06.2025</t>
  </si>
  <si>
    <t>20.09.2025</t>
  </si>
  <si>
    <t>20.03.2026</t>
  </si>
  <si>
    <t>20.09.2026</t>
  </si>
  <si>
    <t>22.09.2014</t>
  </si>
  <si>
    <t>22.12.2014</t>
  </si>
  <si>
    <t>22.06.2015</t>
  </si>
  <si>
    <t>21.09.2015</t>
  </si>
  <si>
    <t>21.12.2015</t>
  </si>
  <si>
    <t>21.03.2016</t>
  </si>
  <si>
    <t>22.06.2020</t>
  </si>
  <si>
    <t>21.09.2020</t>
  </si>
  <si>
    <t>21.12.2020</t>
  </si>
  <si>
    <t>22.03.2021</t>
  </si>
  <si>
    <t>21.06.2021</t>
  </si>
  <si>
    <t>21.03.2022</t>
  </si>
  <si>
    <t>22.09.2025</t>
  </si>
  <si>
    <t>22.12.2025</t>
  </si>
  <si>
    <t>22.06.2026</t>
  </si>
  <si>
    <t>21.09.2026</t>
  </si>
  <si>
    <t>% spłaty</t>
  </si>
  <si>
    <t>Podjęcie kredytu:</t>
  </si>
  <si>
    <t>2017 I transza - 2.650.000, 2018 II transza - 1.240.000</t>
  </si>
  <si>
    <t>Kredytodawca:</t>
  </si>
  <si>
    <t>Bank Spółdzielczy w Dusznikach</t>
  </si>
  <si>
    <t>Rozbudowa Szkoły Podstawowej w Kaźmierzu o część dydaktyczną i salę gimnastyczną; sfinansowanie wkładu własnego</t>
  </si>
  <si>
    <t>2018 - 2030</t>
  </si>
  <si>
    <t>20.05.2018</t>
  </si>
  <si>
    <t>20.11.2018</t>
  </si>
  <si>
    <t>20.05.2019</t>
  </si>
  <si>
    <t>20.11.2019</t>
  </si>
  <si>
    <t>20.05.2020</t>
  </si>
  <si>
    <t>20.11.2020</t>
  </si>
  <si>
    <t>20.05.2021</t>
  </si>
  <si>
    <t>20.11.2021</t>
  </si>
  <si>
    <t>20.05.2022</t>
  </si>
  <si>
    <t>20.11.2022</t>
  </si>
  <si>
    <t>20.05.2023</t>
  </si>
  <si>
    <t>20.11.2023</t>
  </si>
  <si>
    <t>20.05.2024</t>
  </si>
  <si>
    <t>20.11.2024</t>
  </si>
  <si>
    <t>20.05.2025</t>
  </si>
  <si>
    <t>20.11.2025</t>
  </si>
  <si>
    <t>20.05.2026</t>
  </si>
  <si>
    <t>20.11.2026</t>
  </si>
  <si>
    <t>20.03.2027</t>
  </si>
  <si>
    <t>20.05.2027</t>
  </si>
  <si>
    <t>20.09.2027</t>
  </si>
  <si>
    <t>20.11.2027</t>
  </si>
  <si>
    <t>20.03.2028</t>
  </si>
  <si>
    <t>20.05.2028</t>
  </si>
  <si>
    <t>20.09.2028</t>
  </si>
  <si>
    <t>20.11.2028</t>
  </si>
  <si>
    <t>20.03.2029</t>
  </si>
  <si>
    <t>20.05.2029</t>
  </si>
  <si>
    <t>20.09.2029</t>
  </si>
  <si>
    <t>20.11.2029</t>
  </si>
  <si>
    <t>20.03.2030</t>
  </si>
  <si>
    <t>20.05.2030</t>
  </si>
  <si>
    <t>20.09.2030</t>
  </si>
  <si>
    <t>20.11.2030</t>
  </si>
  <si>
    <t>Podjęcie kredytu - rok:</t>
  </si>
  <si>
    <t>Sfinansowanie niektórych wydatków inwestycyjnych w 2016</t>
  </si>
  <si>
    <t>2017 - 2025</t>
  </si>
  <si>
    <t>25.12.2017</t>
  </si>
  <si>
    <t>25.03.2018</t>
  </si>
  <si>
    <t>25.06.2018</t>
  </si>
  <si>
    <t>25.09.2018</t>
  </si>
  <si>
    <t>25.12.2018</t>
  </si>
  <si>
    <t>25.12.2019</t>
  </si>
  <si>
    <t>25.03.2019</t>
  </si>
  <si>
    <t>25.06.2019</t>
  </si>
  <si>
    <t>25.09.2019</t>
  </si>
  <si>
    <t>25.03.2020</t>
  </si>
  <si>
    <t>25.06.2020</t>
  </si>
  <si>
    <t>25.09.2020</t>
  </si>
  <si>
    <t>25.12.2020</t>
  </si>
  <si>
    <t>25.03.2021</t>
  </si>
  <si>
    <t>25.06.2021</t>
  </si>
  <si>
    <t>25.09.2021</t>
  </si>
  <si>
    <t>25.12.2021</t>
  </si>
  <si>
    <t>25.03.2022</t>
  </si>
  <si>
    <t>25.06.2022</t>
  </si>
  <si>
    <t>25.09.2022</t>
  </si>
  <si>
    <t>25.12.2022</t>
  </si>
  <si>
    <t>25.03.2023</t>
  </si>
  <si>
    <t>25.06.2023</t>
  </si>
  <si>
    <t>25.09.2023</t>
  </si>
  <si>
    <t>25.12.2023</t>
  </si>
  <si>
    <t>25.03.2024</t>
  </si>
  <si>
    <t>25.06.2024</t>
  </si>
  <si>
    <t>25.09.2024</t>
  </si>
  <si>
    <t>25.12.2024</t>
  </si>
  <si>
    <t>25.03.2025</t>
  </si>
  <si>
    <t>25.06.2025</t>
  </si>
  <si>
    <t>25.09.2025</t>
  </si>
  <si>
    <t>25.12.2025</t>
  </si>
  <si>
    <t>2018 - 2024</t>
  </si>
  <si>
    <t>Finansowanie części deficytu roku 2017 spowodowanego wydatkami inwestycyjnymi</t>
  </si>
  <si>
    <t>Rozbudowa oczyszczalmi ścieków w Kiączynie wraz z siecią kanalizacji sanitarnej - etap III; pokrycie części wkładu własnego</t>
  </si>
  <si>
    <t>2018 - 2026</t>
  </si>
  <si>
    <t>WF-GW.e2</t>
  </si>
  <si>
    <t>WF-GW.bud</t>
  </si>
  <si>
    <t>WF-GW.e3</t>
  </si>
  <si>
    <t>BS-SP</t>
  </si>
  <si>
    <t>BS-d17</t>
  </si>
  <si>
    <t>BS-i16</t>
  </si>
  <si>
    <t>BS-Kn.e1</t>
  </si>
  <si>
    <t>BS-i12</t>
  </si>
  <si>
    <t>BS-Kn.e2</t>
  </si>
  <si>
    <t>BGK-K.g</t>
  </si>
  <si>
    <t>BS-i18</t>
  </si>
  <si>
    <t>-</t>
  </si>
  <si>
    <t>SUMA</t>
  </si>
  <si>
    <t>rok\kredyt</t>
  </si>
  <si>
    <t>rok</t>
  </si>
  <si>
    <t>spłata kredytu</t>
  </si>
  <si>
    <t>zadłużenie</t>
  </si>
  <si>
    <t>wg sprawozdania</t>
  </si>
  <si>
    <t>do spłaty pozostało</t>
  </si>
  <si>
    <t>BS-pomost</t>
  </si>
  <si>
    <t>pomost</t>
  </si>
  <si>
    <t>Rb-Z C uzup</t>
  </si>
  <si>
    <t>dług 1 kw</t>
  </si>
  <si>
    <t>dług 2 kw</t>
  </si>
  <si>
    <t>wpf</t>
  </si>
  <si>
    <t>pałac i inwe</t>
  </si>
  <si>
    <t>pałac</t>
  </si>
  <si>
    <t>inw 2019</t>
  </si>
  <si>
    <t>spr</t>
  </si>
  <si>
    <t>lata 20-22</t>
  </si>
  <si>
    <t>III kwartał</t>
  </si>
  <si>
    <t>Pałac</t>
  </si>
  <si>
    <t>2020 - 2022</t>
  </si>
  <si>
    <t>IV kwartał</t>
  </si>
  <si>
    <t>Chlewiska</t>
  </si>
  <si>
    <t>BS -i19</t>
  </si>
  <si>
    <t>BS-i19</t>
  </si>
  <si>
    <t>BS-pałac</t>
  </si>
  <si>
    <t>I kwartał</t>
  </si>
  <si>
    <t>dług</t>
  </si>
  <si>
    <t>WFOŚiGW</t>
  </si>
  <si>
    <t>banki</t>
  </si>
  <si>
    <t>b-dług</t>
  </si>
  <si>
    <t>b-krótk</t>
  </si>
  <si>
    <t>unijne-ogół</t>
  </si>
  <si>
    <t>unijne-długo</t>
  </si>
  <si>
    <t>UE-w.własny</t>
  </si>
  <si>
    <t>II kwartał</t>
  </si>
  <si>
    <t>spłata długu</t>
  </si>
  <si>
    <t>wzrost długu</t>
  </si>
  <si>
    <t>saldo</t>
  </si>
  <si>
    <t>zmiana UE</t>
  </si>
  <si>
    <t>RB-UZ</t>
  </si>
  <si>
    <t>III gr</t>
  </si>
  <si>
    <t>banki k</t>
  </si>
  <si>
    <t>0 do 1</t>
  </si>
  <si>
    <t>1 do 5</t>
  </si>
  <si>
    <t>pow 5</t>
  </si>
  <si>
    <t>r 2020</t>
  </si>
  <si>
    <t>l 2021-24</t>
  </si>
  <si>
    <t>od 2025</t>
  </si>
  <si>
    <t>ODSETKI</t>
  </si>
  <si>
    <t>% dzienne</t>
  </si>
  <si>
    <t>dni</t>
  </si>
  <si>
    <t>do spłaty</t>
  </si>
  <si>
    <t>kwota</t>
  </si>
  <si>
    <t>data</t>
  </si>
  <si>
    <t>nr raty</t>
  </si>
  <si>
    <t>kredyt w I transzy</t>
  </si>
  <si>
    <t>całkowity koszt kredytu</t>
  </si>
  <si>
    <t>prowizje, opłaty</t>
  </si>
  <si>
    <t>szacowana kwota odsetek</t>
  </si>
  <si>
    <t>oprocentowanie kredytu</t>
  </si>
  <si>
    <t>marża banku</t>
  </si>
  <si>
    <t>Kwota kredytu</t>
  </si>
  <si>
    <t>TABELA  POMOCNICZA  DO  OBLICZENIA  ŁĄCZNEJ  KWOTY  ODSETEK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</si>
  <si>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</si>
  <si>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</si>
  <si>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</si>
  <si>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</si>
  <si>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</si>
  <si>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</si>
  <si>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</si>
  <si>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</si>
  <si>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</si>
  <si>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</si>
  <si>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</si>
  <si>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</si>
  <si>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</si>
  <si>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</si>
  <si>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</si>
  <si>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</si>
  <si>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</si>
  <si>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</si>
  <si>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</si>
  <si>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</si>
  <si>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</si>
  <si>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</si>
  <si>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</si>
  <si>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</si>
  <si>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</si>
  <si>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</si>
  <si>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</si>
  <si>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WIBOR 3M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</si>
  <si>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</si>
  <si>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</si>
  <si>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</si>
  <si>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</si>
  <si>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</si>
  <si>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</si>
  <si>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</si>
  <si>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</si>
  <si>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</si>
  <si>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</si>
  <si>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</si>
  <si>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</si>
  <si>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</si>
  <si>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</si>
  <si>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1.</t>
  </si>
  <si>
    <t>2.</t>
  </si>
  <si>
    <t>Uwaga ! Arkusz zawiera uproszczony, ujednolicony dla wszystkich oferentów sposób liczenia odsetek od kredytu. Dla przygotowania oferty przyjęto WIBOR 3M w wysokości 5,87% Poszczególni oferenci konkurują pomiędzy sobą wyłącznie marżą, wyrażoną w punktach  procentowych – stąd do edycji przeznaczone jest wyłącznie jedno ŻÓŁTE POLE.</t>
  </si>
  <si>
    <t>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</si>
</sst>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i/>
      <sz val="9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color indexed="26"/>
      <name val="Verdana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i/>
      <sz val="11"/>
      <color theme="1"/>
      <name val="Czcionka tekstu podstawowego"/>
      <charset val="238"/>
    </font>
    <font>
      <sz val="10"/>
      <color indexed="10"/>
      <name val="Arial"/>
      <family val="2"/>
      <charset val="238"/>
    </font>
    <font>
      <sz val="11"/>
      <name val="Arial CE"/>
      <family val="2"/>
      <charset val="238"/>
    </font>
    <font>
      <i/>
      <sz val="9"/>
      <name val="Arial CE"/>
      <family val="2"/>
      <charset val="238"/>
    </font>
    <font>
      <sz val="11"/>
      <color rgb="FFFFFF00"/>
      <name val="Calibri"/>
      <family val="2"/>
      <charset val="238"/>
      <scheme val="minor"/>
    </font>
    <font>
      <b/>
      <sz val="10"/>
      <color rgb="FFFFFF99"/>
      <name val="Verdana"/>
      <family val="2"/>
      <charset val="238"/>
    </font>
    <font>
      <sz val="10"/>
      <color theme="1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18"/>
        <bgColor indexed="32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32"/>
      </patternFill>
    </fill>
    <fill>
      <patternFill patternType="solid">
        <fgColor rgb="FF00206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5" borderId="2" applyNumberFormat="0" applyAlignment="0" applyProtection="0"/>
    <xf numFmtId="0" fontId="11" fillId="0" borderId="0"/>
    <xf numFmtId="0" fontId="12" fillId="9" borderId="0" applyNumberFormat="0" applyBorder="0" applyAlignment="0" applyProtection="0"/>
    <xf numFmtId="0" fontId="13" fillId="0" borderId="0"/>
    <xf numFmtId="0" fontId="14" fillId="0" borderId="0"/>
  </cellStyleXfs>
  <cellXfs count="8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2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0" fontId="2" fillId="0" borderId="1" xfId="0" applyFont="1" applyBorder="1"/>
    <xf numFmtId="164" fontId="0" fillId="0" borderId="1" xfId="0" applyNumberFormat="1" applyBorder="1"/>
    <xf numFmtId="14" fontId="0" fillId="0" borderId="1" xfId="0" applyNumberFormat="1" applyBorder="1"/>
    <xf numFmtId="9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4" borderId="1" xfId="0" applyFill="1" applyBorder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4" fontId="0" fillId="6" borderId="0" xfId="0" applyNumberFormat="1" applyFill="1"/>
    <xf numFmtId="164" fontId="0" fillId="6" borderId="0" xfId="0" applyNumberFormat="1" applyFill="1"/>
    <xf numFmtId="0" fontId="0" fillId="7" borderId="0" xfId="0" applyFill="1" applyAlignment="1">
      <alignment horizontal="center"/>
    </xf>
    <xf numFmtId="4" fontId="0" fillId="7" borderId="0" xfId="0" applyNumberFormat="1" applyFill="1"/>
    <xf numFmtId="0" fontId="0" fillId="7" borderId="0" xfId="0" applyFill="1"/>
    <xf numFmtId="4" fontId="5" fillId="6" borderId="0" xfId="0" applyNumberFormat="1" applyFont="1" applyFill="1"/>
    <xf numFmtId="4" fontId="4" fillId="5" borderId="2" xfId="4" applyNumberFormat="1"/>
    <xf numFmtId="4" fontId="4" fillId="5" borderId="3" xfId="4" applyNumberForma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0" fontId="0" fillId="8" borderId="0" xfId="0" applyFill="1"/>
    <xf numFmtId="4" fontId="0" fillId="8" borderId="0" xfId="0" applyNumberFormat="1" applyFill="1"/>
    <xf numFmtId="0" fontId="3" fillId="0" borderId="0" xfId="2"/>
    <xf numFmtId="164" fontId="0" fillId="3" borderId="0" xfId="0" applyNumberFormat="1" applyFill="1"/>
    <xf numFmtId="4" fontId="6" fillId="0" borderId="0" xfId="0" applyNumberFormat="1" applyFont="1"/>
    <xf numFmtId="4" fontId="9" fillId="6" borderId="0" xfId="0" applyNumberFormat="1" applyFont="1" applyFill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2" applyProtection="1">
      <protection hidden="1"/>
    </xf>
    <xf numFmtId="4" fontId="3" fillId="0" borderId="0" xfId="2" applyNumberFormat="1" applyProtection="1">
      <protection hidden="1"/>
    </xf>
    <xf numFmtId="4" fontId="10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2" applyFont="1" applyBorder="1" applyAlignment="1" applyProtection="1">
      <alignment horizontal="center" vertical="center"/>
      <protection hidden="1"/>
    </xf>
    <xf numFmtId="0" fontId="14" fillId="0" borderId="0" xfId="8" applyAlignment="1" applyProtection="1">
      <alignment vertical="center"/>
      <protection hidden="1"/>
    </xf>
    <xf numFmtId="0" fontId="15" fillId="0" borderId="0" xfId="2" applyFont="1" applyProtection="1">
      <protection hidden="1"/>
    </xf>
    <xf numFmtId="0" fontId="16" fillId="0" borderId="0" xfId="2" applyFont="1" applyProtection="1">
      <protection hidden="1"/>
    </xf>
    <xf numFmtId="0" fontId="14" fillId="0" borderId="0" xfId="8" applyProtection="1">
      <protection hidden="1"/>
    </xf>
    <xf numFmtId="4" fontId="17" fillId="10" borderId="0" xfId="8" applyNumberFormat="1" applyFont="1" applyFill="1" applyAlignment="1" applyProtection="1">
      <alignment vertical="center"/>
      <protection hidden="1"/>
    </xf>
    <xf numFmtId="4" fontId="18" fillId="0" borderId="4" xfId="8" applyNumberFormat="1" applyFont="1" applyBorder="1" applyAlignment="1" applyProtection="1">
      <alignment vertical="center"/>
      <protection hidden="1"/>
    </xf>
    <xf numFmtId="4" fontId="19" fillId="0" borderId="4" xfId="8" applyNumberFormat="1" applyFont="1" applyBorder="1" applyAlignment="1" applyProtection="1">
      <alignment vertical="center"/>
      <protection hidden="1"/>
    </xf>
    <xf numFmtId="10" fontId="17" fillId="10" borderId="0" xfId="8" applyNumberFormat="1" applyFont="1" applyFill="1" applyAlignment="1" applyProtection="1">
      <alignment vertical="center"/>
      <protection hidden="1"/>
    </xf>
    <xf numFmtId="10" fontId="10" fillId="11" borderId="4" xfId="8" applyNumberFormat="1" applyFont="1" applyFill="1" applyBorder="1" applyAlignment="1" applyProtection="1">
      <alignment vertical="center"/>
      <protection locked="0"/>
    </xf>
    <xf numFmtId="0" fontId="20" fillId="0" borderId="0" xfId="8" applyFont="1" applyProtection="1">
      <protection hidden="1"/>
    </xf>
    <xf numFmtId="0" fontId="14" fillId="0" borderId="0" xfId="8" applyAlignment="1" applyProtection="1">
      <alignment horizontal="left" vertical="center" wrapText="1"/>
      <protection hidden="1"/>
    </xf>
    <xf numFmtId="0" fontId="16" fillId="0" borderId="0" xfId="8" applyFont="1" applyAlignment="1" applyProtection="1">
      <alignment vertical="center"/>
      <protection hidden="1"/>
    </xf>
    <xf numFmtId="0" fontId="22" fillId="0" borderId="0" xfId="8" applyFont="1" applyAlignment="1" applyProtection="1">
      <alignment vertical="center"/>
      <protection hidden="1"/>
    </xf>
    <xf numFmtId="0" fontId="23" fillId="0" borderId="0" xfId="8" applyFont="1" applyAlignment="1" applyProtection="1">
      <alignment vertical="center"/>
      <protection hidden="1"/>
    </xf>
    <xf numFmtId="0" fontId="5" fillId="0" borderId="0" xfId="0" applyFont="1"/>
    <xf numFmtId="4" fontId="0" fillId="12" borderId="0" xfId="0" applyNumberFormat="1" applyFill="1"/>
    <xf numFmtId="4" fontId="0" fillId="13" borderId="0" xfId="0" applyNumberFormat="1" applyFill="1"/>
    <xf numFmtId="4" fontId="24" fillId="14" borderId="0" xfId="0" applyNumberFormat="1" applyFont="1" applyFill="1"/>
    <xf numFmtId="0" fontId="0" fillId="0" borderId="0" xfId="0" applyAlignment="1">
      <alignment horizontal="left"/>
    </xf>
    <xf numFmtId="0" fontId="17" fillId="15" borderId="0" xfId="8" applyFont="1" applyFill="1" applyAlignment="1" applyProtection="1">
      <alignment vertical="center"/>
      <protection hidden="1"/>
    </xf>
    <xf numFmtId="0" fontId="0" fillId="16" borderId="0" xfId="0" applyFill="1"/>
    <xf numFmtId="2" fontId="0" fillId="0" borderId="1" xfId="0" applyNumberFormat="1" applyBorder="1"/>
    <xf numFmtId="4" fontId="0" fillId="0" borderId="1" xfId="0" applyNumberFormat="1" applyBorder="1"/>
    <xf numFmtId="2" fontId="0" fillId="4" borderId="1" xfId="0" applyNumberFormat="1" applyFill="1" applyBorder="1"/>
    <xf numFmtId="9" fontId="0" fillId="4" borderId="1" xfId="1" applyFont="1" applyFill="1" applyBorder="1"/>
    <xf numFmtId="4" fontId="0" fillId="4" borderId="1" xfId="0" applyNumberFormat="1" applyFill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44" fontId="25" fillId="16" borderId="0" xfId="0" applyNumberFormat="1" applyFont="1" applyFill="1"/>
    <xf numFmtId="3" fontId="0" fillId="0" borderId="1" xfId="0" applyNumberFormat="1" applyBorder="1"/>
    <xf numFmtId="3" fontId="0" fillId="4" borderId="1" xfId="0" applyNumberFormat="1" applyFill="1" applyBorder="1"/>
    <xf numFmtId="3" fontId="0" fillId="0" borderId="0" xfId="0" applyNumberFormat="1"/>
    <xf numFmtId="4" fontId="11" fillId="0" borderId="1" xfId="5" applyNumberFormat="1" applyBorder="1" applyProtection="1">
      <protection hidden="1"/>
    </xf>
    <xf numFmtId="164" fontId="0" fillId="17" borderId="1" xfId="0" applyNumberFormat="1" applyFill="1" applyBorder="1"/>
    <xf numFmtId="4" fontId="11" fillId="17" borderId="1" xfId="5" applyNumberFormat="1" applyFill="1" applyBorder="1" applyProtection="1">
      <protection hidden="1"/>
    </xf>
    <xf numFmtId="9" fontId="0" fillId="0" borderId="1" xfId="1" applyFont="1" applyFill="1" applyBorder="1"/>
    <xf numFmtId="4" fontId="2" fillId="0" borderId="1" xfId="0" applyNumberFormat="1" applyFont="1" applyBorder="1"/>
    <xf numFmtId="0" fontId="0" fillId="17" borderId="1" xfId="0" applyFill="1" applyBorder="1"/>
    <xf numFmtId="4" fontId="0" fillId="17" borderId="1" xfId="0" applyNumberFormat="1" applyFill="1" applyBorder="1"/>
    <xf numFmtId="165" fontId="26" fillId="0" borderId="1" xfId="0" applyNumberFormat="1" applyFont="1" applyBorder="1"/>
    <xf numFmtId="0" fontId="19" fillId="0" borderId="4" xfId="8" applyFont="1" applyBorder="1" applyAlignment="1" applyProtection="1">
      <alignment horizontal="right" vertical="center" wrapText="1"/>
      <protection hidden="1"/>
    </xf>
    <xf numFmtId="0" fontId="17" fillId="10" borderId="0" xfId="8" applyFont="1" applyFill="1" applyAlignment="1" applyProtection="1">
      <alignment horizontal="right" vertical="center" wrapText="1"/>
      <protection hidden="1"/>
    </xf>
    <xf numFmtId="0" fontId="21" fillId="0" borderId="0" xfId="8" applyFont="1" applyAlignment="1" applyProtection="1">
      <alignment horizontal="left" vertical="center" wrapText="1"/>
      <protection hidden="1"/>
    </xf>
    <xf numFmtId="0" fontId="17" fillId="10" borderId="0" xfId="8" applyFont="1" applyFill="1" applyAlignment="1" applyProtection="1">
      <alignment horizontal="right" vertical="center"/>
      <protection hidden="1"/>
    </xf>
    <xf numFmtId="0" fontId="14" fillId="0" borderId="4" xfId="8" applyBorder="1" applyAlignment="1" applyProtection="1">
      <alignment horizontal="right" vertical="center"/>
      <protection hidden="1"/>
    </xf>
  </cellXfs>
  <cellStyles count="9">
    <cellStyle name="Dane wejściowe" xfId="4" builtinId="20"/>
    <cellStyle name="Dobry 2" xfId="6" xr:uid="{F6FAD794-AE37-45F5-884E-F7AEAF97F84D}"/>
    <cellStyle name="Normalny" xfId="0" builtinId="0"/>
    <cellStyle name="Normalny 2" xfId="2" xr:uid="{00000000-0005-0000-0000-000001000000}"/>
    <cellStyle name="Normalny 3 2" xfId="5" xr:uid="{C3840F59-199D-4C5F-BA43-0677D1FBC535}"/>
    <cellStyle name="Normalny 4" xfId="8" xr:uid="{800232EF-2859-45C6-82CC-BB3B2A44FEBE}"/>
    <cellStyle name="Normalny 6" xfId="7" xr:uid="{6FDA017E-2B70-49C9-A7B4-35891662AA67}"/>
    <cellStyle name="Procentowy" xfId="1" builtinId="5"/>
    <cellStyle name="Procentowy 2" xfId="3" xr:uid="{00000000-0005-0000-0000-000003000000}"/>
  </cellStyles>
  <dxfs count="0"/>
  <tableStyles count="0" defaultTableStyle="TableStyleMedium2" defaultPivotStyle="PivotStyleLight16"/>
  <colors>
    <mruColors>
      <color rgb="FFFC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opLeftCell="A22" workbookViewId="0">
      <selection activeCell="Q25" sqref="Q25"/>
    </sheetView>
  </sheetViews>
  <sheetFormatPr defaultRowHeight="15"/>
  <cols>
    <col min="1" max="1" width="12.140625" customWidth="1"/>
    <col min="2" max="4" width="13.42578125" bestFit="1" customWidth="1"/>
    <col min="5" max="6" width="14.85546875" bestFit="1" customWidth="1"/>
    <col min="7" max="7" width="13.42578125" bestFit="1" customWidth="1"/>
    <col min="8" max="8" width="14.85546875" bestFit="1" customWidth="1"/>
    <col min="9" max="10" width="13.42578125" bestFit="1" customWidth="1"/>
    <col min="11" max="11" width="14.85546875" bestFit="1" customWidth="1"/>
    <col min="12" max="12" width="14.85546875" customWidth="1"/>
    <col min="13" max="13" width="14.85546875" bestFit="1" customWidth="1"/>
    <col min="14" max="15" width="14.85546875" customWidth="1"/>
    <col min="16" max="16" width="12.42578125" customWidth="1"/>
    <col min="17" max="17" width="14.42578125" customWidth="1"/>
    <col min="18" max="18" width="14.85546875" bestFit="1" customWidth="1"/>
    <col min="19" max="19" width="16.28515625" bestFit="1" customWidth="1"/>
    <col min="20" max="20" width="15.140625" customWidth="1"/>
  </cols>
  <sheetData>
    <row r="1" spans="1:20">
      <c r="A1" s="6" t="s">
        <v>171</v>
      </c>
      <c r="B1" s="6" t="s">
        <v>158</v>
      </c>
      <c r="C1" s="6" t="s">
        <v>159</v>
      </c>
      <c r="D1" s="6" t="s">
        <v>160</v>
      </c>
      <c r="E1" s="6" t="s">
        <v>161</v>
      </c>
      <c r="F1" s="6" t="s">
        <v>162</v>
      </c>
      <c r="G1" s="6" t="s">
        <v>163</v>
      </c>
      <c r="H1" s="6" t="s">
        <v>164</v>
      </c>
      <c r="I1" s="6" t="s">
        <v>165</v>
      </c>
      <c r="J1" s="6" t="s">
        <v>166</v>
      </c>
      <c r="K1" s="6" t="s">
        <v>167</v>
      </c>
      <c r="L1" s="6" t="s">
        <v>177</v>
      </c>
      <c r="M1" s="6" t="s">
        <v>168</v>
      </c>
      <c r="N1" s="6" t="s">
        <v>193</v>
      </c>
      <c r="O1" s="6" t="s">
        <v>195</v>
      </c>
      <c r="P1" s="6" t="s">
        <v>172</v>
      </c>
      <c r="Q1" s="6" t="s">
        <v>173</v>
      </c>
      <c r="R1" s="6" t="s">
        <v>174</v>
      </c>
      <c r="S1" s="6" t="s">
        <v>175</v>
      </c>
    </row>
    <row r="2" spans="1:20">
      <c r="A2" s="6">
        <v>2007</v>
      </c>
      <c r="B2" s="3" t="s">
        <v>169</v>
      </c>
      <c r="C2" s="3" t="s">
        <v>169</v>
      </c>
      <c r="D2" s="3" t="s">
        <v>169</v>
      </c>
      <c r="E2" s="3" t="s">
        <v>169</v>
      </c>
      <c r="F2" s="3" t="s">
        <v>169</v>
      </c>
      <c r="G2" s="3" t="s">
        <v>169</v>
      </c>
      <c r="H2" s="3" t="s">
        <v>169</v>
      </c>
      <c r="I2" s="3" t="s">
        <v>169</v>
      </c>
      <c r="J2" s="3" t="s">
        <v>169</v>
      </c>
      <c r="K2" s="3" t="e">
        <f>#REF!</f>
        <v>#REF!</v>
      </c>
      <c r="L2" s="3"/>
      <c r="M2" s="3" t="s">
        <v>169</v>
      </c>
      <c r="N2" s="3"/>
      <c r="O2" s="3"/>
      <c r="P2" s="6">
        <v>2007</v>
      </c>
      <c r="Q2" s="3" t="e">
        <f>SUM(B2:M2)</f>
        <v>#REF!</v>
      </c>
      <c r="R2" s="3" t="e">
        <f>$K$28-SUM($K$2:K2)</f>
        <v>#REF!</v>
      </c>
      <c r="S2" s="3">
        <v>3233677.13</v>
      </c>
    </row>
    <row r="3" spans="1:20">
      <c r="A3" s="6">
        <v>2008</v>
      </c>
      <c r="B3" s="4" t="s">
        <v>169</v>
      </c>
      <c r="C3" s="4" t="s">
        <v>169</v>
      </c>
      <c r="D3" s="4" t="s">
        <v>169</v>
      </c>
      <c r="E3" s="4" t="s">
        <v>169</v>
      </c>
      <c r="F3" s="4" t="s">
        <v>169</v>
      </c>
      <c r="G3" s="4" t="s">
        <v>169</v>
      </c>
      <c r="H3" s="4" t="s">
        <v>169</v>
      </c>
      <c r="I3" s="4" t="s">
        <v>169</v>
      </c>
      <c r="J3" s="4" t="s">
        <v>169</v>
      </c>
      <c r="K3" s="4" t="e">
        <f>#REF!</f>
        <v>#REF!</v>
      </c>
      <c r="L3" s="4"/>
      <c r="M3" s="4" t="s">
        <v>169</v>
      </c>
      <c r="N3" s="4"/>
      <c r="O3" s="4"/>
      <c r="P3" s="6">
        <v>2008</v>
      </c>
      <c r="Q3" s="4" t="e">
        <f t="shared" ref="Q3:Q14" si="0">SUM(B3:M3)</f>
        <v>#REF!</v>
      </c>
      <c r="R3" s="4" t="e">
        <f>$K$28-SUM($K$2:K3)</f>
        <v>#REF!</v>
      </c>
      <c r="S3" s="4">
        <v>2847179.73</v>
      </c>
    </row>
    <row r="4" spans="1:20">
      <c r="A4" s="6">
        <v>2009</v>
      </c>
      <c r="B4" s="3" t="s">
        <v>169</v>
      </c>
      <c r="C4" s="3" t="s">
        <v>169</v>
      </c>
      <c r="D4" s="3" t="s">
        <v>169</v>
      </c>
      <c r="E4" s="3" t="s">
        <v>169</v>
      </c>
      <c r="F4" s="3" t="s">
        <v>169</v>
      </c>
      <c r="G4" s="3" t="s">
        <v>169</v>
      </c>
      <c r="H4" s="3" t="s">
        <v>169</v>
      </c>
      <c r="I4" s="3" t="s">
        <v>169</v>
      </c>
      <c r="J4" s="3" t="s">
        <v>169</v>
      </c>
      <c r="K4" s="3" t="e">
        <f>#REF!</f>
        <v>#REF!</v>
      </c>
      <c r="L4" s="3"/>
      <c r="M4" s="3" t="s">
        <v>169</v>
      </c>
      <c r="N4" s="3"/>
      <c r="O4" s="3"/>
      <c r="P4" s="6">
        <v>2009</v>
      </c>
      <c r="Q4" s="3" t="e">
        <f t="shared" si="0"/>
        <v>#REF!</v>
      </c>
      <c r="R4" s="3" t="e">
        <f>$K$28-SUM($K$2:K4)</f>
        <v>#REF!</v>
      </c>
      <c r="S4" s="3">
        <v>2464615.09</v>
      </c>
    </row>
    <row r="5" spans="1:20">
      <c r="A5" s="6">
        <v>2010</v>
      </c>
      <c r="B5" s="4" t="s">
        <v>169</v>
      </c>
      <c r="C5" s="4" t="s">
        <v>169</v>
      </c>
      <c r="D5" s="4" t="s">
        <v>169</v>
      </c>
      <c r="E5" s="4" t="s">
        <v>169</v>
      </c>
      <c r="F5" s="4" t="s">
        <v>169</v>
      </c>
      <c r="G5" s="4" t="s">
        <v>169</v>
      </c>
      <c r="H5" s="4" t="s">
        <v>169</v>
      </c>
      <c r="I5" s="4" t="s">
        <v>169</v>
      </c>
      <c r="J5" s="4" t="s">
        <v>169</v>
      </c>
      <c r="K5" s="4" t="e">
        <f>#REF!</f>
        <v>#REF!</v>
      </c>
      <c r="L5" s="4"/>
      <c r="M5" s="4" t="s">
        <v>169</v>
      </c>
      <c r="N5" s="4"/>
      <c r="O5" s="4"/>
      <c r="P5" s="6">
        <v>2010</v>
      </c>
      <c r="Q5" s="4" t="e">
        <f t="shared" si="0"/>
        <v>#REF!</v>
      </c>
      <c r="R5" s="4" t="e">
        <f>$K$28-SUM($K$2:K5)</f>
        <v>#REF!</v>
      </c>
      <c r="S5" s="4">
        <v>4231268.46</v>
      </c>
    </row>
    <row r="6" spans="1:20">
      <c r="A6" s="6">
        <v>2011</v>
      </c>
      <c r="B6" s="3" t="s">
        <v>169</v>
      </c>
      <c r="C6" s="3" t="e">
        <f>SUM(#REF!)</f>
        <v>#REF!</v>
      </c>
      <c r="D6" s="3" t="s">
        <v>169</v>
      </c>
      <c r="E6" s="3" t="s">
        <v>169</v>
      </c>
      <c r="F6" s="3" t="s">
        <v>169</v>
      </c>
      <c r="G6" s="3" t="s">
        <v>169</v>
      </c>
      <c r="H6" s="3" t="s">
        <v>169</v>
      </c>
      <c r="I6" s="3" t="s">
        <v>169</v>
      </c>
      <c r="J6" s="3" t="s">
        <v>169</v>
      </c>
      <c r="K6" s="3" t="e">
        <f>#REF!</f>
        <v>#REF!</v>
      </c>
      <c r="L6" s="3"/>
      <c r="M6" s="3" t="s">
        <v>169</v>
      </c>
      <c r="N6" s="3"/>
      <c r="O6" s="3"/>
      <c r="P6" s="6">
        <v>2011</v>
      </c>
      <c r="Q6" s="3" t="e">
        <f t="shared" si="0"/>
        <v>#REF!</v>
      </c>
      <c r="R6" s="3" t="e">
        <f>$K$28-SUM($K$2:K6)+$C$28-SUM($C$6:C6)</f>
        <v>#REF!</v>
      </c>
      <c r="S6" s="3">
        <v>6142023.0499999998</v>
      </c>
    </row>
    <row r="7" spans="1:20">
      <c r="A7" s="6">
        <v>2012</v>
      </c>
      <c r="B7" s="4">
        <f>SUM('WF-GW.e2'!B9:B12)</f>
        <v>49749</v>
      </c>
      <c r="C7" s="4" t="e">
        <f>SUM(#REF!)</f>
        <v>#REF!</v>
      </c>
      <c r="D7" s="4" t="s">
        <v>169</v>
      </c>
      <c r="E7" s="4" t="s">
        <v>169</v>
      </c>
      <c r="F7" s="4" t="s">
        <v>169</v>
      </c>
      <c r="G7" s="4" t="s">
        <v>169</v>
      </c>
      <c r="H7" s="4" t="s">
        <v>169</v>
      </c>
      <c r="I7" s="4" t="s">
        <v>169</v>
      </c>
      <c r="J7" s="4" t="e">
        <f>#REF!</f>
        <v>#REF!</v>
      </c>
      <c r="K7" s="4" t="e">
        <f>#REF!</f>
        <v>#REF!</v>
      </c>
      <c r="L7" s="4"/>
      <c r="M7" s="4" t="s">
        <v>169</v>
      </c>
      <c r="N7" s="4"/>
      <c r="O7" s="4"/>
      <c r="P7" s="6">
        <v>2012</v>
      </c>
      <c r="Q7" s="4" t="e">
        <f t="shared" si="0"/>
        <v>#REF!</v>
      </c>
      <c r="R7" s="4" t="e">
        <f>$K$28-SUM($K$2:K7)+$C$28-SUM($C$6:C7)+$J$28-SUM($J$7:J7)+$B$28-SUM($B$7:B7)</f>
        <v>#REF!</v>
      </c>
      <c r="S7" s="4">
        <v>3686628.29</v>
      </c>
    </row>
    <row r="8" spans="1:20">
      <c r="A8" s="6">
        <v>2013</v>
      </c>
      <c r="B8" s="3">
        <f>SUM('WF-GW.e2'!B13:B16)</f>
        <v>49200</v>
      </c>
      <c r="C8" s="3" t="e">
        <f>SUM(#REF!)</f>
        <v>#REF!</v>
      </c>
      <c r="D8" s="3" t="s">
        <v>169</v>
      </c>
      <c r="E8" s="3" t="s">
        <v>169</v>
      </c>
      <c r="F8" s="3" t="s">
        <v>169</v>
      </c>
      <c r="G8" s="3" t="s">
        <v>169</v>
      </c>
      <c r="H8" s="3" t="e">
        <f>#REF!</f>
        <v>#REF!</v>
      </c>
      <c r="I8" s="3" t="s">
        <v>169</v>
      </c>
      <c r="J8" s="3" t="e">
        <f>#REF!</f>
        <v>#REF!</v>
      </c>
      <c r="K8" s="3" t="e">
        <f>#REF!</f>
        <v>#REF!</v>
      </c>
      <c r="L8" s="3"/>
      <c r="M8" s="3" t="s">
        <v>169</v>
      </c>
      <c r="N8" s="3"/>
      <c r="O8" s="3"/>
      <c r="P8" s="6">
        <v>2013</v>
      </c>
      <c r="Q8" s="3" t="e">
        <f t="shared" si="0"/>
        <v>#REF!</v>
      </c>
      <c r="R8" s="3" t="e">
        <f>$K$28-SUM($K$2:K8)+$C$28-SUM($C$6:C8)+$J$28-SUM($J$7:J8)+$B$28-SUM($B$7:B8)+$H$28-SUM($H$8:H8)</f>
        <v>#REF!</v>
      </c>
      <c r="S8" s="3">
        <v>6250076.3700000001</v>
      </c>
    </row>
    <row r="9" spans="1:20">
      <c r="A9" s="6">
        <v>2014</v>
      </c>
      <c r="B9" s="4">
        <f>SUM('WF-GW.e2'!B17:B20)</f>
        <v>49200</v>
      </c>
      <c r="C9" s="4" t="e">
        <f>SUM(#REF!)</f>
        <v>#REF!</v>
      </c>
      <c r="D9" s="4" t="s">
        <v>169</v>
      </c>
      <c r="E9" s="4" t="s">
        <v>169</v>
      </c>
      <c r="F9" s="4" t="s">
        <v>169</v>
      </c>
      <c r="G9" s="4" t="s">
        <v>169</v>
      </c>
      <c r="H9" s="4" t="e">
        <f>#REF!</f>
        <v>#REF!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/>
      <c r="M9" s="4" t="s">
        <v>169</v>
      </c>
      <c r="N9" s="4"/>
      <c r="O9" s="4"/>
      <c r="P9" s="6">
        <v>2014</v>
      </c>
      <c r="Q9" s="4" t="e">
        <f t="shared" si="0"/>
        <v>#REF!</v>
      </c>
      <c r="R9" s="4" t="e">
        <f>$K$28-SUM($K$2:K9)+$C$28-SUM($C$6:C9)+$J$28-SUM($J$7:J9)+$B$28-SUM($B$7:B9)+$H$28-SUM($H$8:H9)+$I$28-SUM($I$9:I9)</f>
        <v>#REF!</v>
      </c>
      <c r="S9" s="4">
        <v>5717524.4500000002</v>
      </c>
    </row>
    <row r="10" spans="1:20">
      <c r="A10" s="6">
        <v>2015</v>
      </c>
      <c r="B10" s="3">
        <f>SUM('WF-GW.e2'!B21:B24)</f>
        <v>49200</v>
      </c>
      <c r="C10" s="3" t="e">
        <f>SUM(#REF!)</f>
        <v>#REF!</v>
      </c>
      <c r="D10" s="3" t="s">
        <v>169</v>
      </c>
      <c r="E10" s="3" t="s">
        <v>169</v>
      </c>
      <c r="F10" s="3" t="s">
        <v>169</v>
      </c>
      <c r="G10" s="3" t="s">
        <v>169</v>
      </c>
      <c r="H10" s="3" t="e">
        <f>#REF!</f>
        <v>#REF!</v>
      </c>
      <c r="I10" s="3" t="e">
        <f>#REF!</f>
        <v>#REF!</v>
      </c>
      <c r="J10" s="3" t="e">
        <f>#REF!</f>
        <v>#REF!</v>
      </c>
      <c r="K10" s="3" t="e">
        <f>#REF!</f>
        <v>#REF!</v>
      </c>
      <c r="L10" s="3"/>
      <c r="M10" s="3" t="s">
        <v>169</v>
      </c>
      <c r="N10" s="3"/>
      <c r="O10" s="3"/>
      <c r="P10" s="6">
        <v>2015</v>
      </c>
      <c r="Q10" s="3" t="e">
        <f t="shared" si="0"/>
        <v>#REF!</v>
      </c>
      <c r="R10" s="3" t="e">
        <f>$K$28-SUM($K$2:K10)+$C$28-SUM($C$6:C10)+$J$28-SUM($J$7:J10)+$B$28-SUM($B$7:B10)+$H$28-SUM($H$8:H10)+$I$28-SUM($I$9:I10)</f>
        <v>#REF!</v>
      </c>
      <c r="S10" s="3">
        <v>5114972.53</v>
      </c>
    </row>
    <row r="11" spans="1:20">
      <c r="A11" s="6">
        <v>2016</v>
      </c>
      <c r="B11" s="4">
        <f>SUM('WF-GW.e2'!B25:B28)</f>
        <v>49200</v>
      </c>
      <c r="C11" s="4" t="e">
        <f>SUM(#REF!)</f>
        <v>#REF!</v>
      </c>
      <c r="D11" s="4" t="s">
        <v>169</v>
      </c>
      <c r="E11" s="4" t="s">
        <v>169</v>
      </c>
      <c r="F11" s="4" t="s">
        <v>169</v>
      </c>
      <c r="G11" s="4" t="s">
        <v>169</v>
      </c>
      <c r="H11" s="4" t="e">
        <f>#REF!</f>
        <v>#REF!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/>
      <c r="M11" s="4" t="s">
        <v>169</v>
      </c>
      <c r="N11" s="4"/>
      <c r="O11" s="4"/>
      <c r="P11" s="6">
        <v>2016</v>
      </c>
      <c r="Q11" s="4" t="e">
        <f t="shared" si="0"/>
        <v>#REF!</v>
      </c>
      <c r="R11" s="4" t="e">
        <f>$K$28-SUM($K$2:K11)+$C$28-SUM($C$6:C11)+$J$28-SUM($J$7:J11)+$B$28-SUM($B$7:B11)+$H$28-SUM($H$8:H11)+$I$28-SUM($I$9:I11)</f>
        <v>#REF!</v>
      </c>
      <c r="S11" s="4">
        <v>4862420.6100000003</v>
      </c>
    </row>
    <row r="12" spans="1:20">
      <c r="A12" s="6">
        <v>2017</v>
      </c>
      <c r="B12" s="3">
        <f>SUM('WF-GW.e2'!B29:B32)</f>
        <v>49200</v>
      </c>
      <c r="C12" s="3" t="e">
        <f>SUM(#REF!)</f>
        <v>#REF!</v>
      </c>
      <c r="D12" s="3" t="s">
        <v>169</v>
      </c>
      <c r="E12" s="3" t="s">
        <v>169</v>
      </c>
      <c r="F12" s="3" t="s">
        <v>169</v>
      </c>
      <c r="G12" s="3">
        <f>'BS-i16'!J9</f>
        <v>10000</v>
      </c>
      <c r="H12" s="3" t="e">
        <f>#REF!</f>
        <v>#REF!</v>
      </c>
      <c r="I12" s="3" t="e">
        <f>#REF!</f>
        <v>#REF!</v>
      </c>
      <c r="J12" s="3" t="e">
        <f>#REF!</f>
        <v>#REF!</v>
      </c>
      <c r="K12" s="3" t="e">
        <f>#REF!</f>
        <v>#REF!</v>
      </c>
      <c r="L12" s="3"/>
      <c r="M12" s="3" t="s">
        <v>169</v>
      </c>
      <c r="N12" s="3"/>
      <c r="O12" s="3"/>
      <c r="P12" s="6">
        <v>2017</v>
      </c>
      <c r="Q12" s="3" t="e">
        <f t="shared" si="0"/>
        <v>#REF!</v>
      </c>
      <c r="R12" s="3" t="e">
        <f>$K$28-SUM($K$2:K12)+$C$28-SUM($C$6:C12)+$J$28-SUM($J$7:J12)+$B$28-SUM($B$7:B12)+$H$28-SUM($H$8:H12)+$I$28-SUM($I$9:I12)+$G$28-SUM($G$12:G12)</f>
        <v>#REF!</v>
      </c>
      <c r="S12" s="3">
        <v>7428915.3499999996</v>
      </c>
    </row>
    <row r="13" spans="1:20">
      <c r="A13" s="6">
        <v>2018</v>
      </c>
      <c r="B13" s="4">
        <f>SUM('WF-GW.e2'!B33:B36)</f>
        <v>49200</v>
      </c>
      <c r="C13" s="4" t="e">
        <f>SUM(#REF!)</f>
        <v>#REF!</v>
      </c>
      <c r="D13" s="4">
        <f>'WF-GW.e3'!K9</f>
        <v>380</v>
      </c>
      <c r="E13" s="4">
        <f>'BS-SP'!K9</f>
        <v>100000</v>
      </c>
      <c r="F13" s="4">
        <f>'BS-d17'!J9</f>
        <v>30000</v>
      </c>
      <c r="G13" s="4">
        <f>'BS-i16'!J10</f>
        <v>40000</v>
      </c>
      <c r="H13" s="4" t="e">
        <f>#REF!</f>
        <v>#REF!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/>
      <c r="M13" s="4" t="s">
        <v>169</v>
      </c>
      <c r="N13" s="4"/>
      <c r="O13" s="4"/>
      <c r="P13" s="6">
        <v>2018</v>
      </c>
      <c r="Q13" s="4" t="e">
        <f t="shared" si="0"/>
        <v>#REF!</v>
      </c>
      <c r="R13" s="4" t="e">
        <f>$K$28-SUM($K$2:K13)+$C$28-SUM($C$6:C13)+$J$28-SUM($J$7:J13)+$B$28-SUM($B$7:B13)+$H$28-SUM($H$8:H13)+$I$28-SUM($I$9:I13)+$G$28-SUM($G$12:G13)+$D$28-SUM($D$13:D13)+$E$28-SUM($E$13:E13)+$F$28-SUM($F$13:F13)</f>
        <v>#REF!</v>
      </c>
      <c r="S13" s="4">
        <v>10269300.960000001</v>
      </c>
      <c r="T13" s="1" t="e">
        <f>D13+H13+L13</f>
        <v>#REF!</v>
      </c>
    </row>
    <row r="14" spans="1:20">
      <c r="A14" s="6">
        <v>2019</v>
      </c>
      <c r="B14" s="3">
        <f>SUM('WF-GW.e2'!B37:B40)</f>
        <v>49200</v>
      </c>
      <c r="C14" s="3" t="s">
        <v>169</v>
      </c>
      <c r="D14" s="3">
        <f>'WF-GW.e3'!K10</f>
        <v>10000</v>
      </c>
      <c r="E14" s="3">
        <f>'BS-SP'!K10</f>
        <v>100000</v>
      </c>
      <c r="F14" s="3">
        <f>'BS-d17'!J10</f>
        <v>100000</v>
      </c>
      <c r="G14" s="3">
        <f>'BS-i16'!J11</f>
        <v>40000</v>
      </c>
      <c r="H14" s="3" t="e">
        <f>#REF!</f>
        <v>#REF!</v>
      </c>
      <c r="I14" s="3" t="e">
        <f>#REF!</f>
        <v>#REF!</v>
      </c>
      <c r="J14" s="3" t="e">
        <f>#REF!</f>
        <v>#REF!</v>
      </c>
      <c r="K14" s="3" t="e">
        <f>#REF!</f>
        <v>#REF!</v>
      </c>
      <c r="L14" s="3">
        <v>1350000</v>
      </c>
      <c r="M14" s="3" t="e">
        <f>#REF!</f>
        <v>#REF!</v>
      </c>
      <c r="N14" s="3">
        <v>0</v>
      </c>
      <c r="O14" s="3">
        <v>0</v>
      </c>
      <c r="P14" s="6">
        <v>2019</v>
      </c>
      <c r="Q14" s="3" t="e">
        <f t="shared" si="0"/>
        <v>#REF!</v>
      </c>
      <c r="R14" s="3" t="e">
        <f>$K$28-SUM($K$2:K14)+$C$28-SUM($C$6:C14)+$J$28-SUM($J$7:J14)+$B$28-SUM($B$7:B14)+$H$28-SUM($H$8:H14)+$I$28-SUM($I$9:I14)+$G$28-SUM($G$12:G14)+$D$28-SUM($D$13:D14)+$E$28-SUM($E$13:E14)+$F$28-SUM($F$13:F14)+$M$28-SUM($M$14:M14)</f>
        <v>#REF!</v>
      </c>
      <c r="S14" s="3"/>
      <c r="T14" s="1" t="e">
        <f t="shared" ref="T14:T25" si="1">D14+H14+L14</f>
        <v>#REF!</v>
      </c>
    </row>
    <row r="15" spans="1:20">
      <c r="A15" s="6">
        <v>2020</v>
      </c>
      <c r="B15" s="4">
        <f>SUM('WF-GW.e2'!B41:B44)</f>
        <v>49200</v>
      </c>
      <c r="C15" s="4" t="s">
        <v>169</v>
      </c>
      <c r="D15" s="4">
        <f>'WF-GW.e3'!K11</f>
        <v>18160</v>
      </c>
      <c r="E15" s="4">
        <f>'BS-SP'!K11</f>
        <v>180000</v>
      </c>
      <c r="F15" s="4">
        <f>'BS-d17'!J11</f>
        <v>80000</v>
      </c>
      <c r="G15" s="4">
        <f>'BS-i16'!J12</f>
        <v>40000</v>
      </c>
      <c r="H15" s="4" t="e">
        <f>#REF!</f>
        <v>#REF!</v>
      </c>
      <c r="I15" s="4" t="e">
        <f>#REF!</f>
        <v>#REF!</v>
      </c>
      <c r="J15" s="4" t="e">
        <f>#REF!</f>
        <v>#REF!</v>
      </c>
      <c r="K15" s="4"/>
      <c r="L15" s="4"/>
      <c r="M15" s="4" t="e">
        <f>#REF!</f>
        <v>#REF!</v>
      </c>
      <c r="N15" s="4">
        <v>100000</v>
      </c>
      <c r="O15" s="4">
        <v>100000</v>
      </c>
      <c r="P15" s="6">
        <v>2020</v>
      </c>
      <c r="Q15" s="4" t="e">
        <f>SUM(B15:O15)</f>
        <v>#REF!</v>
      </c>
      <c r="R15" s="4" t="e">
        <f>$K$28-SUM($K$2:K15)+$C$28-SUM($C$6:C15)+$J$28-SUM($J$7:J15)+$B$28-SUM($B$7:B15)+$H$28-SUM($H$8:H15)+$I$28-SUM($I$9:I15)+$G$28-SUM($G$12:G15)+$D$28-SUM($D$13:D15)+$E$28-SUM($E$13:E15)+$F$28-SUM($F$13:F15)+$M$28-SUM($M$14:O15)</f>
        <v>#REF!</v>
      </c>
      <c r="S15" s="4"/>
      <c r="T15" s="1" t="e">
        <f t="shared" si="1"/>
        <v>#REF!</v>
      </c>
    </row>
    <row r="16" spans="1:20">
      <c r="A16" s="6">
        <v>2021</v>
      </c>
      <c r="B16" s="3">
        <f>SUM('WF-GW.e2'!B45:B48)</f>
        <v>49200</v>
      </c>
      <c r="C16" s="3" t="s">
        <v>169</v>
      </c>
      <c r="D16" s="3">
        <f>'WF-GW.e3'!K12</f>
        <v>18160</v>
      </c>
      <c r="E16" s="3">
        <f>'BS-SP'!K12</f>
        <v>300000</v>
      </c>
      <c r="F16" s="3">
        <f>'BS-d17'!J12</f>
        <v>80000</v>
      </c>
      <c r="G16" s="3">
        <f>'BS-i16'!J13</f>
        <v>40000</v>
      </c>
      <c r="H16" s="3" t="e">
        <f>#REF!</f>
        <v>#REF!</v>
      </c>
      <c r="I16" s="3"/>
      <c r="J16" s="3"/>
      <c r="K16" s="3"/>
      <c r="L16" s="3"/>
      <c r="M16" s="3" t="e">
        <f>#REF!</f>
        <v>#REF!</v>
      </c>
      <c r="N16" s="3">
        <v>100000</v>
      </c>
      <c r="O16" s="3">
        <v>200000</v>
      </c>
      <c r="P16" s="6">
        <v>2021</v>
      </c>
      <c r="Q16" s="3" t="e">
        <f t="shared" ref="Q16:Q25" si="2">SUM(B16:O16)</f>
        <v>#REF!</v>
      </c>
      <c r="R16" s="3" t="e">
        <f>$K$28-SUM($K$2:K16)+$C$28-SUM($C$6:C16)+$J$28-SUM($J$7:J16)+$B$28-SUM($B$7:B16)+$H$28-SUM($H$8:H16)+$I$28-SUM($I$9:I16)+$G$28-SUM($G$12:G16)+$D$28-SUM($D$13:D16)+$E$28-SUM($E$13:E16)+$F$28-SUM($F$13:F16)+$M$28-SUM($M$14:M16)</f>
        <v>#REF!</v>
      </c>
      <c r="S16" s="3"/>
      <c r="T16" s="1" t="e">
        <f>D16+H16+L16</f>
        <v>#REF!</v>
      </c>
    </row>
    <row r="17" spans="1:20">
      <c r="A17" s="6">
        <v>2022</v>
      </c>
      <c r="B17" s="4">
        <f>SUM('WF-GW.e2'!B49:B52)</f>
        <v>49200</v>
      </c>
      <c r="C17" s="4" t="s">
        <v>169</v>
      </c>
      <c r="D17" s="4">
        <f>'WF-GW.e3'!K13</f>
        <v>18160</v>
      </c>
      <c r="E17" s="4">
        <f>'BS-SP'!K13</f>
        <v>300000</v>
      </c>
      <c r="F17" s="4">
        <f>'BS-d17'!J13</f>
        <v>60000</v>
      </c>
      <c r="G17" s="4">
        <f>'BS-i16'!J14</f>
        <v>40000</v>
      </c>
      <c r="H17" s="4" t="e">
        <f>#REF!</f>
        <v>#REF!</v>
      </c>
      <c r="I17" s="4"/>
      <c r="J17" s="4"/>
      <c r="K17" s="4"/>
      <c r="L17" s="4"/>
      <c r="M17" s="4" t="e">
        <f>#REF!</f>
        <v>#REF!</v>
      </c>
      <c r="N17" s="4">
        <v>150000</v>
      </c>
      <c r="O17" s="4">
        <v>200000</v>
      </c>
      <c r="P17" s="6">
        <v>2022</v>
      </c>
      <c r="Q17" s="4" t="e">
        <f t="shared" si="2"/>
        <v>#REF!</v>
      </c>
      <c r="R17" s="4" t="e">
        <f>$K$28-SUM($K$2:K17)+$C$28-SUM($C$6:C17)+$J$28-SUM($J$7:J17)+$B$28-SUM($B$7:B17)+$H$28-SUM($H$8:H17)+$I$28-SUM($I$9:I17)+$G$28-SUM($G$12:G17)+$D$28-SUM($D$13:D17)+$E$28-SUM($E$13:E17)+$F$28-SUM($F$13:F17)+$M$28-SUM($M$14:M17)</f>
        <v>#REF!</v>
      </c>
      <c r="S17" s="4"/>
      <c r="T17" s="1" t="e">
        <f t="shared" si="1"/>
        <v>#REF!</v>
      </c>
    </row>
    <row r="18" spans="1:20">
      <c r="A18" s="6">
        <v>2023</v>
      </c>
      <c r="B18" s="3">
        <f>SUM('WF-GW.e2'!B53:B56)</f>
        <v>49200</v>
      </c>
      <c r="C18" s="3" t="s">
        <v>169</v>
      </c>
      <c r="D18" s="3">
        <f>'WF-GW.e3'!K14</f>
        <v>18160</v>
      </c>
      <c r="E18" s="3">
        <f>'BS-SP'!K14</f>
        <v>300000</v>
      </c>
      <c r="F18" s="3">
        <f>'BS-d17'!J14</f>
        <v>40000</v>
      </c>
      <c r="G18" s="3">
        <f>'BS-i16'!J15</f>
        <v>40000</v>
      </c>
      <c r="H18" s="3" t="e">
        <f>#REF!</f>
        <v>#REF!</v>
      </c>
      <c r="I18" s="3"/>
      <c r="J18" s="3"/>
      <c r="K18" s="3"/>
      <c r="L18" s="3"/>
      <c r="M18" s="3" t="e">
        <f>#REF!</f>
        <v>#REF!</v>
      </c>
      <c r="N18" s="3">
        <v>150000</v>
      </c>
      <c r="O18" s="3">
        <v>0</v>
      </c>
      <c r="P18" s="6">
        <v>2023</v>
      </c>
      <c r="Q18" s="3" t="e">
        <f t="shared" si="2"/>
        <v>#REF!</v>
      </c>
      <c r="R18" s="3" t="e">
        <f>$K$28-SUM($K$2:K18)+$C$28-SUM($C$6:C18)+$J$28-SUM($J$7:J18)+$B$28-SUM($B$7:B18)+$H$28-SUM($H$8:H18)+$I$28-SUM($I$9:I18)+$G$28-SUM($G$12:G18)+$D$28-SUM($D$13:D18)+$E$28-SUM($E$13:E18)+$F$28-SUM($F$13:F18)+$M$28-SUM($M$14:M18)</f>
        <v>#REF!</v>
      </c>
      <c r="S18" s="3"/>
      <c r="T18" s="1" t="e">
        <f t="shared" si="1"/>
        <v>#REF!</v>
      </c>
    </row>
    <row r="19" spans="1:20">
      <c r="A19" s="6">
        <v>2024</v>
      </c>
      <c r="B19" s="4">
        <f>SUM('WF-GW.e2'!B57:B60)</f>
        <v>49200</v>
      </c>
      <c r="C19" s="4" t="s">
        <v>169</v>
      </c>
      <c r="D19" s="4">
        <f>'WF-GW.e3'!K15</f>
        <v>18160</v>
      </c>
      <c r="E19" s="4">
        <f>'BS-SP'!K15</f>
        <v>300000</v>
      </c>
      <c r="F19" s="4">
        <f>'BS-d17'!J15</f>
        <v>10000</v>
      </c>
      <c r="G19" s="4">
        <f>'BS-i16'!J16</f>
        <v>40000</v>
      </c>
      <c r="H19" s="4" t="e">
        <f>#REF!</f>
        <v>#REF!</v>
      </c>
      <c r="I19" s="4"/>
      <c r="J19" s="4"/>
      <c r="K19" s="4"/>
      <c r="L19" s="4"/>
      <c r="M19" s="4" t="e">
        <f>#REF!</f>
        <v>#REF!</v>
      </c>
      <c r="N19" s="4">
        <v>185000</v>
      </c>
      <c r="O19" s="4">
        <v>0</v>
      </c>
      <c r="P19" s="6">
        <v>2024</v>
      </c>
      <c r="Q19" s="4" t="e">
        <f t="shared" si="2"/>
        <v>#REF!</v>
      </c>
      <c r="R19" s="4" t="e">
        <f>$K$28-SUM($K$2:K19)+$C$28-SUM($C$6:C19)+$J$28-SUM($J$7:J19)+$B$28-SUM($B$7:B19)+$H$28-SUM($H$8:H19)+$I$28-SUM($I$9:I19)+$G$28-SUM($G$12:G19)+$D$28-SUM($D$13:D19)+$E$28-SUM($E$13:E19)+$F$28-SUM($F$13:F19)+$M$28-SUM($M$14:M19)</f>
        <v>#REF!</v>
      </c>
      <c r="S19" s="4"/>
      <c r="T19" s="1" t="e">
        <f t="shared" si="1"/>
        <v>#REF!</v>
      </c>
    </row>
    <row r="20" spans="1:20">
      <c r="A20" s="6">
        <v>2025</v>
      </c>
      <c r="B20" s="3">
        <f>SUM('WF-GW.e2'!B61:B64)</f>
        <v>49200</v>
      </c>
      <c r="C20" s="3" t="s">
        <v>169</v>
      </c>
      <c r="D20" s="3">
        <f>'WF-GW.e3'!K16</f>
        <v>18160</v>
      </c>
      <c r="E20" s="3">
        <f>'BS-SP'!K16</f>
        <v>380000</v>
      </c>
      <c r="F20" s="3"/>
      <c r="G20" s="3">
        <f>'BS-i16'!J17</f>
        <v>50000</v>
      </c>
      <c r="H20" s="3" t="e">
        <f>#REF!</f>
        <v>#REF!</v>
      </c>
      <c r="I20" s="3"/>
      <c r="J20" s="3"/>
      <c r="K20" s="3"/>
      <c r="L20" s="3"/>
      <c r="M20" s="3"/>
      <c r="N20" s="3">
        <v>200000</v>
      </c>
      <c r="O20" s="3">
        <v>0</v>
      </c>
      <c r="P20" s="6">
        <v>2025</v>
      </c>
      <c r="Q20" s="3" t="e">
        <f t="shared" si="2"/>
        <v>#REF!</v>
      </c>
      <c r="R20" s="3" t="e">
        <f>$K$28-SUM($K$2:K20)+$C$28-SUM($C$6:C20)+$J$28-SUM($J$7:J20)+$B$28-SUM($B$7:B20)+$H$28-SUM($H$8:H20)+$I$28-SUM($I$9:I20)+$G$28-SUM($G$12:G20)+$D$28-SUM($D$13:D20)+$E$28-SUM($E$13:E20)+$F$28-SUM($F$13:F20)+$M$28-SUM($M$14:M20)</f>
        <v>#REF!</v>
      </c>
      <c r="S20" s="3"/>
      <c r="T20" s="1" t="e">
        <f t="shared" si="1"/>
        <v>#REF!</v>
      </c>
    </row>
    <row r="21" spans="1:20">
      <c r="A21" s="6">
        <v>2026</v>
      </c>
      <c r="B21" s="4">
        <f>SUM('WF-GW.e2'!B65:B67)</f>
        <v>36900</v>
      </c>
      <c r="C21" s="4" t="s">
        <v>169</v>
      </c>
      <c r="D21" s="4">
        <f>'WF-GW.e3'!K17</f>
        <v>3040</v>
      </c>
      <c r="E21" s="4">
        <f>'BS-SP'!K17</f>
        <v>380000</v>
      </c>
      <c r="F21" s="4"/>
      <c r="G21" s="4"/>
      <c r="H21" s="4" t="e">
        <f>#REF!</f>
        <v>#REF!</v>
      </c>
      <c r="I21" s="4"/>
      <c r="J21" s="4"/>
      <c r="K21" s="4"/>
      <c r="L21" s="4"/>
      <c r="M21" s="4"/>
      <c r="N21" s="4">
        <v>200000</v>
      </c>
      <c r="O21" s="4">
        <v>0</v>
      </c>
      <c r="P21" s="6">
        <v>2026</v>
      </c>
      <c r="Q21" s="4" t="e">
        <f t="shared" si="2"/>
        <v>#REF!</v>
      </c>
      <c r="R21" s="4" t="e">
        <f>$K$28-SUM($K$2:K21)+$C$28-SUM($C$6:C21)+$J$28-SUM($J$7:J21)+$B$28-SUM($B$7:B21)+$H$28-SUM($H$8:H21)+$I$28-SUM($I$9:I21)+$G$28-SUM($G$12:G21)+$D$28-SUM($D$13:D21)+$E$28-SUM($E$13:E21)+$F$28-SUM($F$13:F21)+$M$28-SUM($M$14:M21)</f>
        <v>#REF!</v>
      </c>
      <c r="S21" s="4"/>
      <c r="T21" s="1" t="e">
        <f t="shared" si="1"/>
        <v>#REF!</v>
      </c>
    </row>
    <row r="22" spans="1:20">
      <c r="A22" s="6">
        <v>2027</v>
      </c>
      <c r="B22" s="3" t="s">
        <v>169</v>
      </c>
      <c r="C22" s="3" t="s">
        <v>169</v>
      </c>
      <c r="D22" s="3"/>
      <c r="E22" s="3">
        <f>'BS-SP'!K18</f>
        <v>380000</v>
      </c>
      <c r="F22" s="3"/>
      <c r="G22" s="3"/>
      <c r="H22" s="3" t="e">
        <f>#REF!</f>
        <v>#REF!</v>
      </c>
      <c r="I22" s="3"/>
      <c r="J22" s="3"/>
      <c r="K22" s="3"/>
      <c r="L22" s="3"/>
      <c r="M22" s="3"/>
      <c r="N22" s="3">
        <v>200000</v>
      </c>
      <c r="O22" s="3">
        <v>0</v>
      </c>
      <c r="P22" s="6">
        <v>2027</v>
      </c>
      <c r="Q22" s="3" t="e">
        <f t="shared" si="2"/>
        <v>#REF!</v>
      </c>
      <c r="R22" s="3" t="e">
        <f>$K$28-SUM($K$2:K22)+$C$28-SUM($C$6:C22)+$J$28-SUM($J$7:J22)+$B$28-SUM($B$7:B22)+$H$28-SUM($H$8:H22)+$I$28-SUM($I$9:I22)+$G$28-SUM($G$12:G22)+$D$28-SUM($D$13:D22)+$E$28-SUM($E$13:E22)+$F$28-SUM($F$13:F22)+$M$28-SUM($M$14:M22)</f>
        <v>#REF!</v>
      </c>
      <c r="S22" s="3"/>
      <c r="T22" s="1" t="e">
        <f t="shared" si="1"/>
        <v>#REF!</v>
      </c>
    </row>
    <row r="23" spans="1:20">
      <c r="A23" s="6">
        <v>2028</v>
      </c>
      <c r="B23" s="4" t="s">
        <v>169</v>
      </c>
      <c r="C23" s="4" t="s">
        <v>169</v>
      </c>
      <c r="D23" s="4"/>
      <c r="E23" s="4">
        <f>'BS-SP'!K19</f>
        <v>380000</v>
      </c>
      <c r="F23" s="4"/>
      <c r="G23" s="4"/>
      <c r="H23" s="4" t="e">
        <f>#REF!</f>
        <v>#REF!</v>
      </c>
      <c r="I23" s="4"/>
      <c r="J23" s="4"/>
      <c r="K23" s="4"/>
      <c r="L23" s="4"/>
      <c r="M23" s="4"/>
      <c r="N23" s="4">
        <v>200000</v>
      </c>
      <c r="O23" s="4">
        <v>0</v>
      </c>
      <c r="P23" s="6">
        <v>2028</v>
      </c>
      <c r="Q23" s="4" t="e">
        <f t="shared" si="2"/>
        <v>#REF!</v>
      </c>
      <c r="R23" s="4" t="e">
        <f>$K$28-SUM($K$2:K23)+$C$28-SUM($C$6:C23)+$J$28-SUM($J$7:J23)+$B$28-SUM($B$7:B23)+$H$28-SUM($H$8:H23)+$I$28-SUM($I$9:I23)+$G$28-SUM($G$12:G23)+$D$28-SUM($D$13:D23)+$E$28-SUM($E$13:E23)+$F$28-SUM($F$13:F23)+$M$28-SUM($M$14:M23)</f>
        <v>#REF!</v>
      </c>
      <c r="S23" s="4"/>
      <c r="T23" s="1" t="e">
        <f t="shared" si="1"/>
        <v>#REF!</v>
      </c>
    </row>
    <row r="24" spans="1:20">
      <c r="A24" s="6">
        <v>2029</v>
      </c>
      <c r="B24" s="3" t="s">
        <v>169</v>
      </c>
      <c r="C24" s="3" t="s">
        <v>169</v>
      </c>
      <c r="D24" s="3"/>
      <c r="E24" s="3">
        <f>'BS-SP'!K20</f>
        <v>390000</v>
      </c>
      <c r="F24" s="3"/>
      <c r="G24" s="3"/>
      <c r="H24" s="3" t="e">
        <f>#REF!</f>
        <v>#REF!</v>
      </c>
      <c r="I24" s="3"/>
      <c r="J24" s="3"/>
      <c r="K24" s="3"/>
      <c r="L24" s="3"/>
      <c r="M24" s="3"/>
      <c r="N24" s="3">
        <v>200000</v>
      </c>
      <c r="O24" s="3">
        <v>0</v>
      </c>
      <c r="P24" s="6">
        <v>2029</v>
      </c>
      <c r="Q24" s="3" t="e">
        <f t="shared" si="2"/>
        <v>#REF!</v>
      </c>
      <c r="R24" s="3" t="e">
        <f>$K$28-SUM($K$2:K24)+$C$28-SUM($C$6:C24)+$J$28-SUM($J$7:J24)+$B$28-SUM($B$7:B24)+$H$28-SUM($H$8:H24)+$I$28-SUM($I$9:I24)+$G$28-SUM($G$12:G24)+$D$28-SUM($D$13:D24)+$E$28-SUM($E$13:E24)+$F$28-SUM($F$13:F24)+$M$28-SUM($M$14:M24)</f>
        <v>#REF!</v>
      </c>
      <c r="S24" s="3"/>
      <c r="T24" s="1" t="e">
        <f t="shared" si="1"/>
        <v>#REF!</v>
      </c>
    </row>
    <row r="25" spans="1:20">
      <c r="A25" s="6">
        <v>2030</v>
      </c>
      <c r="B25" s="4" t="s">
        <v>169</v>
      </c>
      <c r="C25" s="4" t="s">
        <v>169</v>
      </c>
      <c r="D25" s="4"/>
      <c r="E25" s="4">
        <f>'BS-SP'!K21</f>
        <v>400000</v>
      </c>
      <c r="F25" s="4"/>
      <c r="G25" s="4"/>
      <c r="H25" s="4" t="e">
        <f>#REF!</f>
        <v>#REF!</v>
      </c>
      <c r="I25" s="4"/>
      <c r="J25" s="4"/>
      <c r="K25" s="4"/>
      <c r="L25" s="4"/>
      <c r="M25" s="4"/>
      <c r="N25" s="4">
        <v>200000</v>
      </c>
      <c r="O25" s="4">
        <v>0</v>
      </c>
      <c r="P25" s="6">
        <v>2030</v>
      </c>
      <c r="Q25" s="4" t="e">
        <f t="shared" si="2"/>
        <v>#REF!</v>
      </c>
      <c r="R25" s="4" t="e">
        <f>$K$28-SUM($K$2:K25)+$C$28-SUM($C$6:C25)+$J$28-SUM($J$7:J25)+$B$28-SUM($B$7:B25)+$H$28-SUM($H$8:H25)+$I$28-SUM($I$9:I25)+$G$28-SUM($G$12:G25)+$D$28-SUM($D$13:D25)+$E$28-SUM($E$13:E25)+$F$28-SUM($F$13:F25)+$M$28-SUM($M$14:M25)</f>
        <v>#REF!</v>
      </c>
      <c r="S25" s="4"/>
      <c r="T25" s="1" t="e">
        <f t="shared" si="1"/>
        <v>#REF!</v>
      </c>
    </row>
    <row r="28" spans="1:20">
      <c r="A28" s="6" t="s">
        <v>170</v>
      </c>
      <c r="B28" s="5">
        <f>SUM(B2:B25)</f>
        <v>726249</v>
      </c>
      <c r="C28" s="5" t="e">
        <f t="shared" ref="C28:M28" si="3">SUM(C2:C25)</f>
        <v>#REF!</v>
      </c>
      <c r="D28" s="5">
        <f t="shared" si="3"/>
        <v>122380</v>
      </c>
      <c r="E28" s="5">
        <f t="shared" si="3"/>
        <v>3890000</v>
      </c>
      <c r="F28" s="5">
        <f t="shared" si="3"/>
        <v>400000</v>
      </c>
      <c r="G28" s="5">
        <f t="shared" si="3"/>
        <v>340000</v>
      </c>
      <c r="H28" s="5" t="e">
        <f t="shared" si="3"/>
        <v>#REF!</v>
      </c>
      <c r="I28" s="5" t="e">
        <f t="shared" si="3"/>
        <v>#REF!</v>
      </c>
      <c r="J28" s="5" t="e">
        <f t="shared" si="3"/>
        <v>#REF!</v>
      </c>
      <c r="K28" s="5" t="e">
        <f t="shared" si="3"/>
        <v>#REF!</v>
      </c>
      <c r="L28" s="5"/>
      <c r="M28" s="5" t="e">
        <f t="shared" si="3"/>
        <v>#REF!</v>
      </c>
      <c r="N28" s="35"/>
      <c r="O28" s="35"/>
    </row>
    <row r="30" spans="1:20">
      <c r="D30" t="s">
        <v>192</v>
      </c>
    </row>
    <row r="31" spans="1:20">
      <c r="B31" s="24" t="s">
        <v>158</v>
      </c>
      <c r="C31" s="24" t="s">
        <v>159</v>
      </c>
      <c r="D31" s="24" t="s">
        <v>160</v>
      </c>
      <c r="E31" s="21" t="s">
        <v>161</v>
      </c>
      <c r="F31" s="21" t="s">
        <v>162</v>
      </c>
      <c r="G31" s="21" t="s">
        <v>163</v>
      </c>
      <c r="H31" s="21" t="s">
        <v>164</v>
      </c>
      <c r="I31" s="21" t="s">
        <v>165</v>
      </c>
      <c r="J31" s="21" t="s">
        <v>166</v>
      </c>
      <c r="K31" s="21" t="s">
        <v>167</v>
      </c>
      <c r="L31" s="21" t="s">
        <v>178</v>
      </c>
      <c r="M31" s="21" t="s">
        <v>168</v>
      </c>
      <c r="N31" s="21" t="s">
        <v>194</v>
      </c>
      <c r="O31" s="21" t="s">
        <v>195</v>
      </c>
      <c r="S31" s="14">
        <v>6769701</v>
      </c>
    </row>
    <row r="32" spans="1:20">
      <c r="A32">
        <v>2019</v>
      </c>
      <c r="B32" s="25">
        <v>49200</v>
      </c>
      <c r="C32" s="25">
        <v>0</v>
      </c>
      <c r="D32" s="25">
        <v>10000</v>
      </c>
      <c r="E32" s="22">
        <v>100000</v>
      </c>
      <c r="F32" s="33">
        <v>100000</v>
      </c>
      <c r="G32" s="33">
        <v>40000</v>
      </c>
      <c r="H32" s="22">
        <v>140000</v>
      </c>
      <c r="I32" s="33">
        <v>100000</v>
      </c>
      <c r="J32" s="22">
        <v>80000</v>
      </c>
      <c r="K32" s="22">
        <v>200000.96000000002</v>
      </c>
      <c r="L32" s="33">
        <v>1350000</v>
      </c>
      <c r="M32" s="33">
        <v>100000</v>
      </c>
      <c r="N32" s="33">
        <v>0</v>
      </c>
      <c r="O32" s="22">
        <v>0</v>
      </c>
    </row>
    <row r="33" spans="1:20">
      <c r="B33" s="25">
        <f>SUM('WF-GW.e2'!B37)</f>
        <v>12300</v>
      </c>
      <c r="C33" s="25">
        <v>0</v>
      </c>
      <c r="D33" s="25">
        <f>'WF-GW.e3'!B10</f>
        <v>2500</v>
      </c>
      <c r="E33" s="22">
        <f>SUM('BS-SP'!B13)</f>
        <v>25000</v>
      </c>
      <c r="F33" s="27">
        <f>SUM('BS-d17'!B10)</f>
        <v>25000</v>
      </c>
      <c r="G33" s="27">
        <f>SUM('BS-i16'!B14)</f>
        <v>10000</v>
      </c>
      <c r="H33" s="22" t="e">
        <f>SUM(#REF!)</f>
        <v>#REF!</v>
      </c>
      <c r="I33" s="27" t="e">
        <f>SUM(#REF!)</f>
        <v>#REF!</v>
      </c>
      <c r="J33" s="22" t="e">
        <f>#REF!</f>
        <v>#REF!</v>
      </c>
      <c r="K33" s="22" t="e">
        <f>SUM(#REF!)+16666.66</f>
        <v>#REF!</v>
      </c>
      <c r="L33" s="22">
        <v>0</v>
      </c>
      <c r="M33" s="27" t="e">
        <f>SUM(#REF!)</f>
        <v>#REF!</v>
      </c>
      <c r="N33" s="27">
        <v>0</v>
      </c>
      <c r="O33" s="37">
        <v>0</v>
      </c>
      <c r="Q33" s="14" t="e">
        <f>SUM(B33:M33)</f>
        <v>#REF!</v>
      </c>
      <c r="R33" s="14" t="e">
        <f>SUM(B33:M33)-F33-G33-I33-M33</f>
        <v>#REF!</v>
      </c>
      <c r="S33" s="14"/>
    </row>
    <row r="34" spans="1:20">
      <c r="B34" s="25">
        <f>SUM('WF-GW.e2'!B37:B38)</f>
        <v>24600</v>
      </c>
      <c r="C34" s="25">
        <v>0</v>
      </c>
      <c r="D34" s="25">
        <v>5000</v>
      </c>
      <c r="E34" s="22">
        <f>SUM('BS-SP'!B13:B14)</f>
        <v>50000</v>
      </c>
      <c r="F34" s="27">
        <f>SUM('BS-d17'!B10:B11)</f>
        <v>50000</v>
      </c>
      <c r="G34" s="27">
        <f>SUM('BS-i16'!B14:B15)</f>
        <v>20000</v>
      </c>
      <c r="H34" s="22" t="e">
        <f>SUM(#REF!)</f>
        <v>#REF!</v>
      </c>
      <c r="I34" s="27" t="e">
        <f>I33*2</f>
        <v>#REF!</v>
      </c>
      <c r="J34" s="22" t="e">
        <f>J33*2</f>
        <v>#REF!</v>
      </c>
      <c r="K34" s="22" t="e">
        <f>16666.66*3+K33</f>
        <v>#REF!</v>
      </c>
      <c r="L34" s="22">
        <v>1350000</v>
      </c>
      <c r="M34" s="27" t="e">
        <f>M33*2</f>
        <v>#REF!</v>
      </c>
      <c r="N34" s="27">
        <v>0</v>
      </c>
      <c r="O34" s="37">
        <v>0</v>
      </c>
      <c r="Q34" s="14" t="e">
        <f>SUM(B34:M34)</f>
        <v>#REF!</v>
      </c>
      <c r="R34" s="14" t="e">
        <f>SUM(B34:M34)-F34-G34-I34-M34</f>
        <v>#REF!</v>
      </c>
    </row>
    <row r="35" spans="1:20">
      <c r="B35" s="25">
        <f>SUM('WF-GW.e2'!B37:B39)</f>
        <v>36900</v>
      </c>
      <c r="C35" s="25">
        <v>0</v>
      </c>
      <c r="D35" s="25">
        <f>SUM('WF-GW.e3'!B10:B12)</f>
        <v>7500</v>
      </c>
      <c r="E35" s="22">
        <f>SUM('BS-SP'!B13:B15)</f>
        <v>75000</v>
      </c>
      <c r="F35" s="27">
        <f>SUM('BS-d17'!B10:B12)</f>
        <v>75000</v>
      </c>
      <c r="G35" s="27">
        <f>SUM('BS-i16'!B14:B16)</f>
        <v>30000</v>
      </c>
      <c r="H35" s="22" t="e">
        <f>SUM(#REF!)</f>
        <v>#REF!</v>
      </c>
      <c r="I35" s="27" t="e">
        <f>SUM(#REF!)</f>
        <v>#REF!</v>
      </c>
      <c r="J35" s="22" t="e">
        <f>SUM(#REF!)</f>
        <v>#REF!</v>
      </c>
      <c r="K35" s="22" t="e">
        <f>SUM(#REF!)</f>
        <v>#REF!</v>
      </c>
      <c r="L35" s="22">
        <f>L34</f>
        <v>1350000</v>
      </c>
      <c r="M35" s="27" t="e">
        <f>SUM(#REF!)</f>
        <v>#REF!</v>
      </c>
      <c r="N35" s="27">
        <v>0</v>
      </c>
      <c r="O35" s="37">
        <v>0</v>
      </c>
      <c r="Q35" s="14" t="e">
        <f>SUM(B35:O35)</f>
        <v>#REF!</v>
      </c>
      <c r="R35" s="14" t="e">
        <f>SUM(B35:M35)-F35-G35-I35-M35</f>
        <v>#REF!</v>
      </c>
    </row>
    <row r="36" spans="1:20">
      <c r="B36" s="25">
        <f>SUM('WF-GW.e2'!B37:B40)</f>
        <v>49200</v>
      </c>
      <c r="C36" s="26"/>
      <c r="D36" s="25">
        <f>SUM('WF-GW.e3'!B10:B13)</f>
        <v>10000</v>
      </c>
      <c r="E36" s="22">
        <f>SUM('BS-SP'!B13:B16)</f>
        <v>100000</v>
      </c>
      <c r="F36" s="27">
        <f>SUM('BS-d17'!B10:B13)</f>
        <v>100000</v>
      </c>
      <c r="G36" s="27">
        <f>SUM('BS-i16'!B14:B17)</f>
        <v>40000</v>
      </c>
      <c r="H36" s="22" t="e">
        <f>SUM(#REF!)</f>
        <v>#REF!</v>
      </c>
      <c r="I36" s="27" t="e">
        <f>SUM(#REF!)</f>
        <v>#REF!</v>
      </c>
      <c r="J36" s="22" t="e">
        <f>SUM(#REF!)</f>
        <v>#REF!</v>
      </c>
      <c r="K36" s="22" t="e">
        <f>SUM(#REF!)</f>
        <v>#REF!</v>
      </c>
      <c r="L36" s="22">
        <f>L35</f>
        <v>1350000</v>
      </c>
      <c r="M36" s="27" t="e">
        <f>SUM(#REF!)</f>
        <v>#REF!</v>
      </c>
      <c r="N36" s="27">
        <v>0</v>
      </c>
      <c r="O36" s="37">
        <v>0</v>
      </c>
      <c r="Q36" s="14" t="e">
        <f>SUM(B36:O36)</f>
        <v>#REF!</v>
      </c>
      <c r="R36" s="14" t="e">
        <f>SUM(B36:E36,H36,J36:L36,O36)</f>
        <v>#REF!</v>
      </c>
    </row>
    <row r="37" spans="1:20">
      <c r="A37" t="s">
        <v>191</v>
      </c>
      <c r="B37" s="25">
        <f>'WF-GW.e2'!E40</f>
        <v>332100</v>
      </c>
      <c r="C37" s="25">
        <v>0</v>
      </c>
      <c r="D37" s="25">
        <f>'WF-GW.e3'!E13</f>
        <v>112000</v>
      </c>
      <c r="E37" s="22">
        <f>'BS-SP'!E16</f>
        <v>3690000</v>
      </c>
      <c r="F37" s="22">
        <f>'BS-d17'!E13</f>
        <v>270000</v>
      </c>
      <c r="G37" s="22">
        <f>'BS-i16'!E17</f>
        <v>250000</v>
      </c>
      <c r="H37" s="22" t="e">
        <f>#REF!</f>
        <v>#REF!</v>
      </c>
      <c r="I37" s="22" t="e">
        <f>#REF!</f>
        <v>#REF!</v>
      </c>
      <c r="J37" s="22" t="e">
        <f>#REF!</f>
        <v>#REF!</v>
      </c>
      <c r="K37" s="22" t="e">
        <f>#REF!</f>
        <v>#REF!</v>
      </c>
      <c r="L37" s="22">
        <v>0</v>
      </c>
      <c r="M37" s="22" t="e">
        <f>#REF!</f>
        <v>#REF!</v>
      </c>
      <c r="N37" s="22">
        <v>1885000</v>
      </c>
      <c r="O37" s="22">
        <v>500000</v>
      </c>
      <c r="Q37" s="32"/>
      <c r="R37" s="32" t="s">
        <v>179</v>
      </c>
      <c r="S37" s="32"/>
      <c r="T37" s="32"/>
    </row>
    <row r="38" spans="1:20">
      <c r="A38" s="30" t="e">
        <f>SUM(B38:M38)</f>
        <v>#REF!</v>
      </c>
      <c r="B38" s="31">
        <f>B37+B33</f>
        <v>344400</v>
      </c>
      <c r="C38" s="31">
        <f t="shared" ref="C38:M38" si="4">C37+C33</f>
        <v>0</v>
      </c>
      <c r="D38" s="31">
        <f t="shared" si="4"/>
        <v>114500</v>
      </c>
      <c r="E38" s="31">
        <f t="shared" si="4"/>
        <v>3715000</v>
      </c>
      <c r="F38" s="31">
        <f t="shared" si="4"/>
        <v>295000</v>
      </c>
      <c r="G38" s="31">
        <f t="shared" si="4"/>
        <v>260000</v>
      </c>
      <c r="H38" s="31" t="e">
        <f t="shared" si="4"/>
        <v>#REF!</v>
      </c>
      <c r="I38" s="31" t="e">
        <f t="shared" si="4"/>
        <v>#REF!</v>
      </c>
      <c r="J38" s="31" t="e">
        <f t="shared" si="4"/>
        <v>#REF!</v>
      </c>
      <c r="K38" s="31" t="e">
        <f t="shared" si="4"/>
        <v>#REF!</v>
      </c>
      <c r="L38" s="31">
        <f>L37+L34</f>
        <v>1350000</v>
      </c>
      <c r="M38" s="31" t="e">
        <f t="shared" si="4"/>
        <v>#REF!</v>
      </c>
      <c r="N38" s="36"/>
      <c r="O38" s="36"/>
      <c r="Q38" s="32"/>
      <c r="R38" s="32"/>
      <c r="S38" s="33"/>
      <c r="T38" s="32"/>
    </row>
    <row r="39" spans="1:20">
      <c r="A39" s="29" t="e">
        <f>SUM(B39:M39)</f>
        <v>#REF!</v>
      </c>
      <c r="D39" s="14">
        <f>SUM(B37:D37)</f>
        <v>444100</v>
      </c>
      <c r="M39" s="14" t="e">
        <f>SUM(E37:O37)</f>
        <v>#REF!</v>
      </c>
      <c r="N39" s="14"/>
      <c r="O39" s="14"/>
      <c r="P39" t="s">
        <v>181</v>
      </c>
      <c r="Q39" s="33" t="e">
        <f>SUM(B37:E37,H37,J37:L37,O37)</f>
        <v>#REF!</v>
      </c>
      <c r="R39" s="33" t="e">
        <f>Q39</f>
        <v>#REF!</v>
      </c>
      <c r="S39" s="33" t="e">
        <f>S41-R39</f>
        <v>#REF!</v>
      </c>
      <c r="T39" s="32"/>
    </row>
    <row r="40" spans="1:20">
      <c r="Q40" s="32"/>
      <c r="R40" s="32"/>
      <c r="S40" s="32"/>
      <c r="T40" s="32"/>
    </row>
    <row r="41" spans="1:20">
      <c r="A41" s="28" t="e">
        <f>SUM(B41:M41)</f>
        <v>#REF!</v>
      </c>
      <c r="D41" s="14">
        <f>D39+D33+B33</f>
        <v>458900</v>
      </c>
      <c r="L41" s="14">
        <f>L34</f>
        <v>1350000</v>
      </c>
      <c r="M41" s="14" t="e">
        <f>SUM(E33:M33)+M39</f>
        <v>#REF!</v>
      </c>
      <c r="N41" s="14"/>
      <c r="O41" s="14"/>
      <c r="P41" t="s">
        <v>180</v>
      </c>
      <c r="Q41" s="33" t="e">
        <f>SUM(B38:E38,H38,J38:L38)</f>
        <v>#REF!</v>
      </c>
      <c r="R41" s="33">
        <v>8264500.9800000004</v>
      </c>
      <c r="S41" s="33">
        <v>6914500.9800000004</v>
      </c>
      <c r="T41" s="33" t="e">
        <f>A41-R41</f>
        <v>#REF!</v>
      </c>
    </row>
    <row r="42" spans="1:20">
      <c r="Q42" s="32"/>
      <c r="R42" s="32"/>
      <c r="S42" s="32"/>
      <c r="T42" s="32"/>
    </row>
    <row r="43" spans="1:20">
      <c r="F43" s="1" t="e">
        <f>SUM(E45:O45)</f>
        <v>#REF!</v>
      </c>
      <c r="Q43" s="33"/>
      <c r="R43" s="32"/>
      <c r="S43" s="32"/>
      <c r="T43" s="32"/>
    </row>
    <row r="44" spans="1:20">
      <c r="A44" t="s">
        <v>196</v>
      </c>
      <c r="B44" s="25">
        <f>SUM('WF-GW.e2'!B45)</f>
        <v>12300</v>
      </c>
      <c r="C44" s="25">
        <v>0</v>
      </c>
      <c r="D44" s="59">
        <f>SUM('WF-GW.e3'!B18)</f>
        <v>4540</v>
      </c>
      <c r="E44" s="22">
        <f>SUM('BS-SP'!B17)</f>
        <v>45000</v>
      </c>
      <c r="F44" s="27">
        <f>SUM('BS-d17'!B14)</f>
        <v>20000</v>
      </c>
      <c r="G44" s="27">
        <f>SUM('BS-i16'!B18)</f>
        <v>10000</v>
      </c>
      <c r="H44" s="59" t="e">
        <f>SUM(#REF!)</f>
        <v>#REF!</v>
      </c>
      <c r="I44" s="27" t="e">
        <f>SUM(#REF!)</f>
        <v>#REF!</v>
      </c>
      <c r="J44" s="22" t="e">
        <f>SUM(#REF!)</f>
        <v>#REF!</v>
      </c>
      <c r="K44" s="22">
        <v>0</v>
      </c>
      <c r="L44" s="59">
        <v>0</v>
      </c>
      <c r="M44" s="27" t="e">
        <f>SUM(#REF!)</f>
        <v>#REF!</v>
      </c>
      <c r="N44" s="27">
        <v>25000</v>
      </c>
      <c r="O44" s="22">
        <v>25000</v>
      </c>
      <c r="P44" s="61" t="e">
        <f>SUM(B44:O44)</f>
        <v>#REF!</v>
      </c>
      <c r="Q44" s="22" t="e">
        <f>SUM(B44:P44)</f>
        <v>#REF!</v>
      </c>
      <c r="R44" s="14" t="e">
        <f>SUM(B44:E44,H44,J44:L44,O44)</f>
        <v>#REF!</v>
      </c>
      <c r="T44" s="1" t="e">
        <f>D44+H44+L44</f>
        <v>#REF!</v>
      </c>
    </row>
    <row r="45" spans="1:20">
      <c r="B45" s="1">
        <f>SUM(B15:B25)-B44</f>
        <v>319800</v>
      </c>
      <c r="C45" s="1">
        <f t="shared" ref="C45:O45" si="5">SUM(C15:C25)-C44</f>
        <v>0</v>
      </c>
      <c r="D45" s="1">
        <f t="shared" si="5"/>
        <v>107460</v>
      </c>
      <c r="E45" s="1">
        <f t="shared" si="5"/>
        <v>3645000</v>
      </c>
      <c r="F45" s="1">
        <f t="shared" si="5"/>
        <v>250000</v>
      </c>
      <c r="G45" s="1">
        <f t="shared" si="5"/>
        <v>240000</v>
      </c>
      <c r="H45" s="1" t="e">
        <f t="shared" si="5"/>
        <v>#REF!</v>
      </c>
      <c r="I45" s="1" t="e">
        <f t="shared" si="5"/>
        <v>#REF!</v>
      </c>
      <c r="J45" s="1" t="e">
        <f t="shared" si="5"/>
        <v>#REF!</v>
      </c>
      <c r="K45" s="1">
        <f t="shared" si="5"/>
        <v>0</v>
      </c>
      <c r="L45" s="1">
        <f t="shared" si="5"/>
        <v>0</v>
      </c>
      <c r="M45" s="1" t="e">
        <f t="shared" si="5"/>
        <v>#REF!</v>
      </c>
      <c r="N45" s="1">
        <f>SUM(N15:N25)-N44</f>
        <v>1860000</v>
      </c>
      <c r="O45" s="1">
        <f t="shared" si="5"/>
        <v>475000</v>
      </c>
      <c r="P45" s="61" t="e">
        <f>SUM(B45:O45)</f>
        <v>#REF!</v>
      </c>
      <c r="Q45">
        <v>8459701</v>
      </c>
      <c r="R45" s="1">
        <f>SUM(B45:D45)</f>
        <v>427260</v>
      </c>
      <c r="S45" s="1" t="e">
        <f>SUM(E45:O45)</f>
        <v>#REF!</v>
      </c>
    </row>
    <row r="46" spans="1:20">
      <c r="E46" s="58"/>
      <c r="F46" s="58"/>
      <c r="G46" s="58"/>
      <c r="H46" s="58"/>
      <c r="I46" s="58"/>
      <c r="J46" s="58"/>
      <c r="M46" s="58"/>
      <c r="N46" s="58"/>
      <c r="O46" s="58"/>
      <c r="P46" s="33" t="e">
        <f>SUM(B45:E45,H45,J45:L45,O45)</f>
        <v>#REF!</v>
      </c>
      <c r="Q46" s="14"/>
    </row>
    <row r="47" spans="1:20">
      <c r="A47" t="s">
        <v>205</v>
      </c>
      <c r="B47" s="25">
        <f>SUM('WF-GW.e2'!B41:B42)</f>
        <v>24600</v>
      </c>
      <c r="C47" s="60"/>
      <c r="D47" s="59">
        <f>SUM('WF-GW.e3'!B14:B15)</f>
        <v>9080</v>
      </c>
      <c r="E47" s="22">
        <f>SUM('BS-SP'!B17:B18)</f>
        <v>90000</v>
      </c>
      <c r="F47" s="27">
        <f>SUM('BS-d17'!B14:B15)</f>
        <v>40000</v>
      </c>
      <c r="G47" s="27">
        <f>SUM('BS-i16'!B18:B19)</f>
        <v>20000</v>
      </c>
      <c r="H47" s="59" t="e">
        <f>SUM(#REF!)</f>
        <v>#REF!</v>
      </c>
      <c r="I47" s="27" t="e">
        <f>SUM(#REF!)</f>
        <v>#REF!</v>
      </c>
      <c r="J47" s="22" t="e">
        <f>SUM(#REF!)</f>
        <v>#REF!</v>
      </c>
      <c r="K47" s="60"/>
      <c r="L47" s="60"/>
      <c r="M47" s="27" t="e">
        <f>SUM(#REF!)</f>
        <v>#REF!</v>
      </c>
      <c r="N47" s="27">
        <f>N44+25000</f>
        <v>50000</v>
      </c>
      <c r="O47" s="22">
        <f>SUM('BS-pałac'!B9:B10)</f>
        <v>50000</v>
      </c>
      <c r="P47" s="61" t="e">
        <f>SUM(B47:O47)</f>
        <v>#REF!</v>
      </c>
      <c r="Q47" s="14"/>
    </row>
    <row r="48" spans="1:20">
      <c r="B48" s="1">
        <f>SUM('WF-GW.e2'!B43:B67)</f>
        <v>307500</v>
      </c>
      <c r="C48" s="1"/>
      <c r="D48" s="1">
        <f>SUM('WF-GW.e3'!B16:B38)</f>
        <v>102920</v>
      </c>
      <c r="E48" s="1">
        <f>SUM('BS-SP'!B19:B60)</f>
        <v>3600000</v>
      </c>
      <c r="F48" s="1">
        <f>SUM('BS-d17'!B16:B30)</f>
        <v>230000</v>
      </c>
      <c r="G48" s="1">
        <f>SUM('BS-i16'!B20:B41)</f>
        <v>230000</v>
      </c>
      <c r="H48" s="1" t="e">
        <f>SUM(#REF!)</f>
        <v>#REF!</v>
      </c>
      <c r="I48" s="1" t="e">
        <f>SUM(#REF!)</f>
        <v>#REF!</v>
      </c>
      <c r="J48" s="1" t="e">
        <f>SUM(#REF!)</f>
        <v>#REF!</v>
      </c>
      <c r="K48" s="1"/>
      <c r="L48" s="1"/>
      <c r="M48" s="1" t="e">
        <f>SUM(#REF!)</f>
        <v>#REF!</v>
      </c>
      <c r="N48" s="1">
        <f>SUM(N15:N25)-N47</f>
        <v>1835000</v>
      </c>
      <c r="O48" s="1">
        <f>SUM('BS-pałac'!B11:B20)</f>
        <v>450000</v>
      </c>
      <c r="P48" s="61" t="e">
        <f>SUM(B48:O48)</f>
        <v>#REF!</v>
      </c>
      <c r="R48" s="1">
        <f>SUM(B48:D48)</f>
        <v>410420</v>
      </c>
      <c r="S48" s="1" t="e">
        <f>SUM(E48:O48)</f>
        <v>#REF!</v>
      </c>
    </row>
    <row r="49" spans="1:19">
      <c r="P49" s="33" t="e">
        <f>SUM(B48:E48,H48,J48:L48,O48)</f>
        <v>#REF!</v>
      </c>
    </row>
    <row r="50" spans="1:19">
      <c r="A50" t="s">
        <v>188</v>
      </c>
      <c r="B50" s="25">
        <f>SUM('WF-GW.e2'!B41:B43)</f>
        <v>36900</v>
      </c>
      <c r="C50" s="60"/>
      <c r="D50" s="59">
        <f>SUM('WF-GW.e3'!B14:B16)</f>
        <v>13620</v>
      </c>
      <c r="E50" s="25">
        <f>SUM('BS-SP'!B17:B19)</f>
        <v>135000</v>
      </c>
      <c r="F50" s="27">
        <f>SUM('BS-d17'!B14:B16)</f>
        <v>60000</v>
      </c>
      <c r="G50" s="27">
        <f>SUM('BS-i16'!B18:B20)</f>
        <v>30000</v>
      </c>
      <c r="H50" s="59" t="e">
        <f>SUM(#REF!)</f>
        <v>#REF!</v>
      </c>
      <c r="I50" s="27" t="e">
        <f>SUM(#REF!)</f>
        <v>#REF!</v>
      </c>
      <c r="J50" s="22" t="e">
        <f>SUM(#REF!)</f>
        <v>#REF!</v>
      </c>
      <c r="K50" s="60"/>
      <c r="L50" s="60"/>
      <c r="M50" s="27" t="e">
        <f>SUM(#REF!)</f>
        <v>#REF!</v>
      </c>
      <c r="N50" s="27" t="e">
        <f>SUM(#REF!)</f>
        <v>#REF!</v>
      </c>
      <c r="O50" s="22">
        <f>SUM('BS-pałac'!B9:B11)</f>
        <v>75000</v>
      </c>
      <c r="P50" s="61" t="e">
        <f>SUM(B50:O50)</f>
        <v>#REF!</v>
      </c>
    </row>
    <row r="51" spans="1:19">
      <c r="B51" s="1">
        <f>'WF-GW.e2'!E43</f>
        <v>295200</v>
      </c>
      <c r="C51" s="1"/>
      <c r="D51" s="1">
        <f>'WF-GW.e3'!E16</f>
        <v>98380</v>
      </c>
      <c r="E51" s="1">
        <f>'BS-SP'!E19</f>
        <v>3555000</v>
      </c>
      <c r="F51" s="1">
        <f>'BS-d17'!E16</f>
        <v>210000</v>
      </c>
      <c r="G51" s="1">
        <f>'BS-i16'!E20</f>
        <v>220000</v>
      </c>
      <c r="H51" s="1" t="e">
        <f>#REF!</f>
        <v>#REF!</v>
      </c>
      <c r="I51" s="1" t="e">
        <f>#REF!</f>
        <v>#REF!</v>
      </c>
      <c r="J51" s="1" t="e">
        <f>#REF!</f>
        <v>#REF!</v>
      </c>
      <c r="K51" s="1"/>
      <c r="L51" s="1"/>
      <c r="M51" s="1" t="e">
        <f>#REF!</f>
        <v>#REF!</v>
      </c>
      <c r="N51" s="1" t="e">
        <f>#REF!</f>
        <v>#REF!</v>
      </c>
      <c r="O51" s="1">
        <f>'BS-pałac'!E11</f>
        <v>425000</v>
      </c>
      <c r="P51" s="61" t="e">
        <f>SUM(B51:O51)</f>
        <v>#REF!</v>
      </c>
      <c r="Q51">
        <f>9140000+393580</f>
        <v>9533580</v>
      </c>
      <c r="R51" s="1">
        <f>SUM(B51:D51)</f>
        <v>393580</v>
      </c>
      <c r="S51" s="1" t="e">
        <f>SUM(E51:O51)</f>
        <v>#REF!</v>
      </c>
    </row>
    <row r="52" spans="1:19">
      <c r="P52" s="33" t="e">
        <f>SUM(B51:E51,H51,J51:L51,O51)</f>
        <v>#REF!</v>
      </c>
      <c r="Q52" s="14" t="e">
        <f>D50+H50</f>
        <v>#REF!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28AE-FC0B-48FF-96A2-55DAC91BE4FD}">
  <dimension ref="A4:P70"/>
  <sheetViews>
    <sheetView tabSelected="1" topLeftCell="A22" workbookViewId="0">
      <selection activeCell="I50" sqref="I50"/>
    </sheetView>
  </sheetViews>
  <sheetFormatPr defaultRowHeight="15"/>
  <cols>
    <col min="1" max="1" width="17.7109375" customWidth="1"/>
    <col min="2" max="2" width="13.85546875" customWidth="1"/>
    <col min="3" max="3" width="19.140625" customWidth="1"/>
    <col min="4" max="4" width="13.28515625" customWidth="1"/>
    <col min="5" max="5" width="15.42578125" customWidth="1"/>
    <col min="6" max="6" width="14.5703125" hidden="1" customWidth="1"/>
    <col min="7" max="7" width="21.85546875" hidden="1" customWidth="1"/>
    <col min="8" max="8" width="22.42578125" hidden="1" customWidth="1"/>
    <col min="9" max="9" width="11.5703125" customWidth="1"/>
    <col min="11" max="11" width="10" bestFit="1" customWidth="1"/>
    <col min="13" max="13" width="10" bestFit="1" customWidth="1"/>
    <col min="15" max="15" width="11.42578125" bestFit="1" customWidth="1"/>
    <col min="16" max="16" width="9.7109375" bestFit="1" customWidth="1"/>
  </cols>
  <sheetData>
    <row r="4" spans="1:5">
      <c r="A4" s="57"/>
      <c r="B4" s="57"/>
      <c r="C4" s="57"/>
      <c r="D4" s="57"/>
      <c r="E4" s="57"/>
    </row>
    <row r="5" spans="1:5">
      <c r="A5" s="56"/>
      <c r="B5" s="56"/>
      <c r="C5" s="56"/>
      <c r="D5" s="56"/>
      <c r="E5" s="56"/>
    </row>
    <row r="6" spans="1:5" ht="15.75">
      <c r="A6" s="55" t="s">
        <v>233</v>
      </c>
      <c r="B6" s="55"/>
      <c r="C6" s="55"/>
      <c r="D6" s="55"/>
      <c r="E6" s="55"/>
    </row>
    <row r="8" spans="1:5">
      <c r="A8" s="63" t="s">
        <v>232</v>
      </c>
      <c r="B8" s="64"/>
      <c r="C8" s="72">
        <v>1879000</v>
      </c>
      <c r="D8" s="16"/>
    </row>
    <row r="9" spans="1:5">
      <c r="D9" s="16"/>
    </row>
    <row r="10" spans="1:5" ht="58.5" customHeight="1">
      <c r="A10" s="86" t="s">
        <v>278</v>
      </c>
      <c r="B10" s="86"/>
      <c r="C10" s="86"/>
      <c r="D10" s="86"/>
      <c r="E10" s="86"/>
    </row>
    <row r="11" spans="1:5">
      <c r="A11" s="54"/>
      <c r="B11" s="44"/>
      <c r="C11" s="44"/>
      <c r="D11" s="44"/>
      <c r="E11" s="44"/>
    </row>
    <row r="12" spans="1:5">
      <c r="A12" s="87" t="s">
        <v>261</v>
      </c>
      <c r="B12" s="87"/>
      <c r="C12" s="51">
        <v>5.8700000000000002E-2</v>
      </c>
      <c r="D12" s="53"/>
      <c r="E12" s="44"/>
    </row>
    <row r="13" spans="1:5">
      <c r="A13" s="88" t="s">
        <v>231</v>
      </c>
      <c r="B13" s="88"/>
      <c r="C13" s="52"/>
      <c r="D13" s="47"/>
      <c r="E13" s="44"/>
    </row>
    <row r="14" spans="1:5">
      <c r="A14" s="87" t="s">
        <v>230</v>
      </c>
      <c r="B14" s="87"/>
      <c r="C14" s="51">
        <f>C12+C13</f>
        <v>5.8700000000000002E-2</v>
      </c>
      <c r="D14" s="47"/>
      <c r="E14" s="44"/>
    </row>
    <row r="15" spans="1:5">
      <c r="A15" s="44"/>
      <c r="B15" s="47"/>
      <c r="C15" s="44"/>
      <c r="D15" s="47"/>
      <c r="E15" s="44"/>
    </row>
    <row r="16" spans="1:5" ht="14.45" customHeight="1">
      <c r="A16" s="84" t="s">
        <v>229</v>
      </c>
      <c r="B16" s="84"/>
      <c r="C16" s="50">
        <f>I67</f>
        <v>680639.46857399517</v>
      </c>
      <c r="D16" s="47"/>
      <c r="E16" s="44"/>
    </row>
    <row r="17" spans="1:16">
      <c r="A17" s="84" t="s">
        <v>228</v>
      </c>
      <c r="B17" s="84"/>
      <c r="C17" s="49">
        <v>0</v>
      </c>
      <c r="D17" s="47"/>
      <c r="E17" s="44"/>
    </row>
    <row r="18" spans="1:16" ht="14.45" customHeight="1">
      <c r="A18" s="85" t="s">
        <v>227</v>
      </c>
      <c r="B18" s="85"/>
      <c r="C18" s="48">
        <f>C16+C17</f>
        <v>680639.46857399517</v>
      </c>
      <c r="D18" s="47"/>
      <c r="E18" s="44"/>
    </row>
    <row r="19" spans="1:16" ht="15.75">
      <c r="A19" s="46"/>
      <c r="B19" s="40"/>
      <c r="C19" s="40"/>
      <c r="D19" s="40"/>
      <c r="E19" s="41"/>
    </row>
    <row r="20" spans="1:16">
      <c r="A20" s="45" t="s">
        <v>226</v>
      </c>
      <c r="B20" s="40"/>
      <c r="C20" s="40"/>
      <c r="D20" s="40"/>
      <c r="E20" s="41"/>
      <c r="F20" s="75"/>
    </row>
    <row r="21" spans="1:16">
      <c r="D21" s="15"/>
    </row>
    <row r="22" spans="1:16">
      <c r="A22" s="43" t="s">
        <v>225</v>
      </c>
      <c r="B22" s="43" t="s">
        <v>224</v>
      </c>
      <c r="C22" s="43" t="s">
        <v>223</v>
      </c>
      <c r="D22" s="43" t="s">
        <v>77</v>
      </c>
      <c r="E22" s="42" t="s">
        <v>222</v>
      </c>
      <c r="F22" s="71" t="s">
        <v>221</v>
      </c>
      <c r="G22" s="6" t="s">
        <v>220</v>
      </c>
      <c r="H22" s="6" t="s">
        <v>219</v>
      </c>
      <c r="I22" s="6" t="s">
        <v>219</v>
      </c>
    </row>
    <row r="23" spans="1:16">
      <c r="A23" s="18" t="s">
        <v>276</v>
      </c>
      <c r="B23" s="12">
        <v>45474</v>
      </c>
      <c r="C23" s="4"/>
      <c r="D23" s="68">
        <f>SUM($C$23:C23)/$C$8</f>
        <v>0</v>
      </c>
      <c r="E23" s="4">
        <f>C8-C23</f>
        <v>1879000</v>
      </c>
      <c r="F23" s="74"/>
      <c r="G23" s="67"/>
      <c r="H23" s="69">
        <f t="shared" ref="H23:H66" si="0">F23*G23</f>
        <v>0</v>
      </c>
      <c r="I23" s="69"/>
      <c r="K23" s="14"/>
      <c r="M23" s="14"/>
    </row>
    <row r="24" spans="1:16">
      <c r="A24" s="18" t="s">
        <v>277</v>
      </c>
      <c r="B24" s="12">
        <v>45555</v>
      </c>
      <c r="C24" s="4"/>
      <c r="D24" s="68">
        <f>SUM($C$23:C24)/$C$8</f>
        <v>0</v>
      </c>
      <c r="E24" s="4">
        <f>E23-C24</f>
        <v>1879000</v>
      </c>
      <c r="F24" s="74">
        <v>82</v>
      </c>
      <c r="G24" s="67">
        <f t="shared" ref="G24:G30" si="1">E23*$C$14/365</f>
        <v>302.18438356164387</v>
      </c>
      <c r="H24" s="69">
        <f t="shared" si="0"/>
        <v>24779.119452054798</v>
      </c>
      <c r="I24" s="69">
        <f>H24+H25</f>
        <v>43212.366849315076</v>
      </c>
      <c r="K24" s="14"/>
      <c r="M24" s="14"/>
    </row>
    <row r="25" spans="1:16">
      <c r="A25" s="18" t="s">
        <v>234</v>
      </c>
      <c r="B25" s="12">
        <v>45616</v>
      </c>
      <c r="C25" s="77"/>
      <c r="D25" s="68">
        <f>SUM($C$23:C25)/$C$8</f>
        <v>0</v>
      </c>
      <c r="E25" s="4">
        <f>E24-C25</f>
        <v>1879000</v>
      </c>
      <c r="F25" s="74">
        <v>61</v>
      </c>
      <c r="G25" s="67">
        <f t="shared" si="1"/>
        <v>302.18438356164387</v>
      </c>
      <c r="H25" s="69">
        <f t="shared" si="0"/>
        <v>18433.247397260275</v>
      </c>
      <c r="I25" s="69">
        <f>G27*41</f>
        <v>12389.559726027399</v>
      </c>
      <c r="K25" s="14"/>
      <c r="M25" s="14"/>
    </row>
    <row r="26" spans="1:16">
      <c r="A26" s="20" t="s">
        <v>235</v>
      </c>
      <c r="B26" s="8">
        <v>45677</v>
      </c>
      <c r="C26" s="83">
        <v>27500</v>
      </c>
      <c r="D26" s="79">
        <f>SUM($C$23:C26)/$C$8</f>
        <v>1.4635444385311336E-2</v>
      </c>
      <c r="E26" s="7">
        <f t="shared" ref="E26:E66" si="2">E25-C26</f>
        <v>1851500</v>
      </c>
      <c r="F26" s="73">
        <v>61</v>
      </c>
      <c r="G26" s="65">
        <f t="shared" si="1"/>
        <v>302.18438356164387</v>
      </c>
      <c r="H26" s="66">
        <f t="shared" si="0"/>
        <v>18433.247397260275</v>
      </c>
      <c r="I26" s="66"/>
      <c r="K26" s="14"/>
      <c r="M26" s="14"/>
    </row>
    <row r="27" spans="1:16">
      <c r="A27" s="20" t="s">
        <v>236</v>
      </c>
      <c r="B27" s="8">
        <v>45736</v>
      </c>
      <c r="C27" s="76">
        <v>27500</v>
      </c>
      <c r="D27" s="79">
        <f>SUM($C$23:C27)/$C$8</f>
        <v>2.9270888770622672E-2</v>
      </c>
      <c r="E27" s="7">
        <f t="shared" si="2"/>
        <v>1824000</v>
      </c>
      <c r="F27" s="73">
        <v>58</v>
      </c>
      <c r="G27" s="65">
        <f>E25*$C$14/365</f>
        <v>302.18438356164387</v>
      </c>
      <c r="H27" s="66">
        <f t="shared" si="0"/>
        <v>17526.694246575345</v>
      </c>
      <c r="I27" s="66"/>
      <c r="K27" s="14"/>
      <c r="M27" s="14"/>
    </row>
    <row r="28" spans="1:16">
      <c r="A28" s="20" t="s">
        <v>237</v>
      </c>
      <c r="B28" s="8">
        <v>45797</v>
      </c>
      <c r="C28" s="76">
        <v>27500</v>
      </c>
      <c r="D28" s="79">
        <f>SUM($C$23:C28)/$C$8</f>
        <v>4.3906333155934008E-2</v>
      </c>
      <c r="E28" s="7">
        <f t="shared" si="2"/>
        <v>1796500</v>
      </c>
      <c r="F28" s="73">
        <v>61</v>
      </c>
      <c r="G28" s="65">
        <f t="shared" si="1"/>
        <v>293.33917808219178</v>
      </c>
      <c r="H28" s="66">
        <f t="shared" si="0"/>
        <v>17893.6898630137</v>
      </c>
      <c r="I28" s="66">
        <f>H28+H29+H30+H27+H26-I25</f>
        <v>94354.942876712332</v>
      </c>
      <c r="K28" s="14"/>
      <c r="M28" s="14"/>
    </row>
    <row r="29" spans="1:16">
      <c r="A29" s="20" t="s">
        <v>238</v>
      </c>
      <c r="B29" s="8">
        <v>45920</v>
      </c>
      <c r="C29" s="76">
        <v>27500</v>
      </c>
      <c r="D29" s="79">
        <f>SUM($C$23:C29)/$C$8</f>
        <v>5.8541777541245343E-2</v>
      </c>
      <c r="E29" s="7">
        <f t="shared" si="2"/>
        <v>1769000</v>
      </c>
      <c r="F29" s="73">
        <v>123</v>
      </c>
      <c r="G29" s="65">
        <f t="shared" si="1"/>
        <v>288.91657534246576</v>
      </c>
      <c r="H29" s="66">
        <f t="shared" si="0"/>
        <v>35536.738767123286</v>
      </c>
      <c r="I29" s="66">
        <f>G31*41</f>
        <v>11451.552049180327</v>
      </c>
      <c r="K29" s="14"/>
      <c r="M29" s="14"/>
    </row>
    <row r="30" spans="1:16">
      <c r="A30" s="20" t="s">
        <v>239</v>
      </c>
      <c r="B30" s="8">
        <v>45981</v>
      </c>
      <c r="C30" s="76">
        <v>27500</v>
      </c>
      <c r="D30" s="79">
        <f>SUM($C$23:C30)/$C$8</f>
        <v>7.3177221926556679E-2</v>
      </c>
      <c r="E30" s="7">
        <f t="shared" si="2"/>
        <v>1741500</v>
      </c>
      <c r="F30" s="73">
        <v>61</v>
      </c>
      <c r="G30" s="65">
        <f t="shared" si="1"/>
        <v>284.49397260273975</v>
      </c>
      <c r="H30" s="66">
        <f t="shared" si="0"/>
        <v>17354.132328767126</v>
      </c>
      <c r="I30" s="66"/>
      <c r="K30" s="14"/>
      <c r="M30" s="14"/>
      <c r="P30" s="14"/>
    </row>
    <row r="31" spans="1:16">
      <c r="A31" s="18" t="s">
        <v>240</v>
      </c>
      <c r="B31" s="12">
        <v>46101</v>
      </c>
      <c r="C31" s="78">
        <v>27500</v>
      </c>
      <c r="D31" s="68">
        <f>SUM($C$23:C31)/$C$8</f>
        <v>8.7812666311868015E-2</v>
      </c>
      <c r="E31" s="4">
        <f t="shared" si="2"/>
        <v>1714000</v>
      </c>
      <c r="F31" s="74">
        <v>120</v>
      </c>
      <c r="G31" s="67">
        <f>E30*$C$14/366</f>
        <v>279.3061475409836</v>
      </c>
      <c r="H31" s="69">
        <f t="shared" si="0"/>
        <v>33516.737704918036</v>
      </c>
      <c r="I31" s="69"/>
      <c r="K31" s="14"/>
    </row>
    <row r="32" spans="1:16">
      <c r="A32" s="18" t="s">
        <v>241</v>
      </c>
      <c r="B32" s="12">
        <v>46162</v>
      </c>
      <c r="C32" s="78">
        <v>27500</v>
      </c>
      <c r="D32" s="68">
        <f>SUM($C$23:C32)/$C$8</f>
        <v>0.10244811069717935</v>
      </c>
      <c r="E32" s="4">
        <f t="shared" si="2"/>
        <v>1686500</v>
      </c>
      <c r="F32" s="74">
        <v>61</v>
      </c>
      <c r="G32" s="67">
        <f>E31*$C$14/366</f>
        <v>274.89562841530056</v>
      </c>
      <c r="H32" s="69">
        <f t="shared" si="0"/>
        <v>16768.633333333335</v>
      </c>
      <c r="I32" s="69">
        <f>H34+H33+H32+H31-I29</f>
        <v>88334.037431693985</v>
      </c>
      <c r="K32" s="14"/>
    </row>
    <row r="33" spans="1:11">
      <c r="A33" s="18" t="s">
        <v>242</v>
      </c>
      <c r="B33" s="12">
        <v>46285</v>
      </c>
      <c r="C33" s="78">
        <v>27500</v>
      </c>
      <c r="D33" s="68">
        <f>SUM($C$23:C33)/$C$8</f>
        <v>0.11708355508249069</v>
      </c>
      <c r="E33" s="4">
        <f t="shared" si="2"/>
        <v>1659000</v>
      </c>
      <c r="F33" s="74">
        <v>123</v>
      </c>
      <c r="G33" s="67">
        <f>E32*$C$14/366</f>
        <v>270.48510928961747</v>
      </c>
      <c r="H33" s="69">
        <f t="shared" si="0"/>
        <v>33269.668442622948</v>
      </c>
      <c r="I33" s="69">
        <f>G35*41</f>
        <v>10757.619315068494</v>
      </c>
      <c r="K33" s="14"/>
    </row>
    <row r="34" spans="1:11">
      <c r="A34" s="18" t="s">
        <v>243</v>
      </c>
      <c r="B34" s="12">
        <v>46346</v>
      </c>
      <c r="C34" s="78">
        <v>27500</v>
      </c>
      <c r="D34" s="68">
        <f>SUM($C$23:C34)/$C$8</f>
        <v>0.13171899946780202</v>
      </c>
      <c r="E34" s="4">
        <f t="shared" si="2"/>
        <v>1631500</v>
      </c>
      <c r="F34" s="74">
        <v>61</v>
      </c>
      <c r="G34" s="67">
        <f>E33*$C$14/366</f>
        <v>266.07459016393443</v>
      </c>
      <c r="H34" s="69">
        <f t="shared" si="0"/>
        <v>16230.550000000001</v>
      </c>
      <c r="I34" s="69"/>
      <c r="K34" s="14"/>
    </row>
    <row r="35" spans="1:11">
      <c r="A35" s="20" t="s">
        <v>244</v>
      </c>
      <c r="B35" s="8">
        <v>46466</v>
      </c>
      <c r="C35" s="76">
        <v>38250</v>
      </c>
      <c r="D35" s="9">
        <f>SUM($C$23:C35)/$C$8</f>
        <v>0.15207557211282596</v>
      </c>
      <c r="E35" s="7">
        <f t="shared" si="2"/>
        <v>1593250</v>
      </c>
      <c r="F35" s="73">
        <v>120</v>
      </c>
      <c r="G35" s="65">
        <f t="shared" ref="G35:G46" si="3">E34*$C$14/365</f>
        <v>262.3809589041096</v>
      </c>
      <c r="H35" s="66">
        <f t="shared" si="0"/>
        <v>31485.715068493151</v>
      </c>
      <c r="I35" s="66"/>
    </row>
    <row r="36" spans="1:11">
      <c r="A36" s="20" t="s">
        <v>245</v>
      </c>
      <c r="B36" s="8">
        <v>46527</v>
      </c>
      <c r="C36" s="76">
        <v>38250</v>
      </c>
      <c r="D36" s="9">
        <f>SUM($C$23:C36)/$C$8</f>
        <v>0.17243214475784993</v>
      </c>
      <c r="E36" s="7">
        <f t="shared" si="2"/>
        <v>1555000</v>
      </c>
      <c r="F36" s="73">
        <v>61</v>
      </c>
      <c r="G36" s="65">
        <f t="shared" si="3"/>
        <v>256.22952054794524</v>
      </c>
      <c r="H36" s="66">
        <f t="shared" si="0"/>
        <v>15630.00075342466</v>
      </c>
      <c r="I36" s="66">
        <f>H38+H37+H36+H35-I33</f>
        <v>81997.225890410962</v>
      </c>
      <c r="K36" s="14"/>
    </row>
    <row r="37" spans="1:11">
      <c r="A37" s="20" t="s">
        <v>246</v>
      </c>
      <c r="B37" s="8">
        <v>46650</v>
      </c>
      <c r="C37" s="76">
        <v>38250</v>
      </c>
      <c r="D37" s="9">
        <f>SUM($C$23:C37)/$C$8</f>
        <v>0.19278871740287387</v>
      </c>
      <c r="E37" s="7">
        <f t="shared" si="2"/>
        <v>1516750</v>
      </c>
      <c r="F37" s="73">
        <v>123</v>
      </c>
      <c r="G37" s="65">
        <f t="shared" si="3"/>
        <v>250.07808219178082</v>
      </c>
      <c r="H37" s="66">
        <f t="shared" si="0"/>
        <v>30759.60410958904</v>
      </c>
      <c r="I37" s="66">
        <f>G39*41</f>
        <v>9748.783424657533</v>
      </c>
    </row>
    <row r="38" spans="1:11">
      <c r="A38" s="20" t="s">
        <v>247</v>
      </c>
      <c r="B38" s="8">
        <v>46711</v>
      </c>
      <c r="C38" s="76">
        <v>38250</v>
      </c>
      <c r="D38" s="9">
        <f>SUM($C$23:C38)/$C$8</f>
        <v>0.21314529004789781</v>
      </c>
      <c r="E38" s="7">
        <f t="shared" si="2"/>
        <v>1478500</v>
      </c>
      <c r="F38" s="73">
        <v>61</v>
      </c>
      <c r="G38" s="65">
        <f t="shared" si="3"/>
        <v>243.92664383561646</v>
      </c>
      <c r="H38" s="66">
        <f t="shared" si="0"/>
        <v>14879.525273972604</v>
      </c>
      <c r="I38" s="66"/>
    </row>
    <row r="39" spans="1:11">
      <c r="A39" s="18" t="s">
        <v>248</v>
      </c>
      <c r="B39" s="12">
        <v>46832</v>
      </c>
      <c r="C39" s="78">
        <v>38250</v>
      </c>
      <c r="D39" s="68">
        <f>SUM($C$23:C39)/$C$8</f>
        <v>0.23350186269292178</v>
      </c>
      <c r="E39" s="4">
        <f t="shared" si="2"/>
        <v>1440250</v>
      </c>
      <c r="F39" s="74">
        <v>121</v>
      </c>
      <c r="G39" s="67">
        <f t="shared" si="3"/>
        <v>237.77520547945204</v>
      </c>
      <c r="H39" s="69">
        <f t="shared" si="0"/>
        <v>28770.799863013697</v>
      </c>
      <c r="I39" s="69"/>
    </row>
    <row r="40" spans="1:11">
      <c r="A40" s="18" t="s">
        <v>249</v>
      </c>
      <c r="B40" s="12">
        <v>46893</v>
      </c>
      <c r="C40" s="78">
        <v>38250</v>
      </c>
      <c r="D40" s="68">
        <f>SUM($C$23:C40)/$C$8</f>
        <v>0.25385843533794572</v>
      </c>
      <c r="E40" s="4">
        <f t="shared" si="2"/>
        <v>1402000</v>
      </c>
      <c r="F40" s="74">
        <v>61</v>
      </c>
      <c r="G40" s="67">
        <f t="shared" si="3"/>
        <v>231.62376712328768</v>
      </c>
      <c r="H40" s="69">
        <f t="shared" si="0"/>
        <v>14129.049794520548</v>
      </c>
      <c r="I40" s="69">
        <f>H42+H41+H40+H39-I37</f>
        <v>74262.736986301374</v>
      </c>
    </row>
    <row r="41" spans="1:11">
      <c r="A41" s="18" t="s">
        <v>250</v>
      </c>
      <c r="B41" s="12">
        <v>47016</v>
      </c>
      <c r="C41" s="78">
        <v>38250</v>
      </c>
      <c r="D41" s="68">
        <f>SUM($C$23:C41)/$C$8</f>
        <v>0.27421500798296966</v>
      </c>
      <c r="E41" s="4">
        <f t="shared" si="2"/>
        <v>1363750</v>
      </c>
      <c r="F41" s="74">
        <v>123</v>
      </c>
      <c r="G41" s="67">
        <f t="shared" si="3"/>
        <v>225.47232876712332</v>
      </c>
      <c r="H41" s="69">
        <f t="shared" si="0"/>
        <v>27733.09643835617</v>
      </c>
      <c r="I41" s="69">
        <f>G43*41</f>
        <v>8739.9475342465757</v>
      </c>
    </row>
    <row r="42" spans="1:11">
      <c r="A42" s="18" t="s">
        <v>251</v>
      </c>
      <c r="B42" s="12">
        <v>47077</v>
      </c>
      <c r="C42" s="78">
        <v>38250</v>
      </c>
      <c r="D42" s="68">
        <f>SUM($C$23:C42)/$C$8</f>
        <v>0.2945715806279936</v>
      </c>
      <c r="E42" s="4">
        <f t="shared" si="2"/>
        <v>1325500</v>
      </c>
      <c r="F42" s="74">
        <v>61</v>
      </c>
      <c r="G42" s="67">
        <f t="shared" si="3"/>
        <v>219.3208904109589</v>
      </c>
      <c r="H42" s="69">
        <f t="shared" si="0"/>
        <v>13378.574315068492</v>
      </c>
      <c r="I42" s="69"/>
    </row>
    <row r="43" spans="1:11">
      <c r="A43" s="20" t="s">
        <v>252</v>
      </c>
      <c r="B43" s="8">
        <v>47197</v>
      </c>
      <c r="C43" s="76">
        <v>50000</v>
      </c>
      <c r="D43" s="9">
        <f>SUM($C$23:C43)/$C$8</f>
        <v>0.32118147951037784</v>
      </c>
      <c r="E43" s="7">
        <f t="shared" si="2"/>
        <v>1275500</v>
      </c>
      <c r="F43" s="73">
        <v>120</v>
      </c>
      <c r="G43" s="65">
        <f t="shared" si="3"/>
        <v>213.16945205479453</v>
      </c>
      <c r="H43" s="66">
        <f t="shared" si="0"/>
        <v>25580.334246575345</v>
      </c>
      <c r="I43" s="66"/>
    </row>
    <row r="44" spans="1:11">
      <c r="A44" s="20" t="s">
        <v>253</v>
      </c>
      <c r="B44" s="8">
        <v>47258</v>
      </c>
      <c r="C44" s="76">
        <v>50000</v>
      </c>
      <c r="D44" s="9">
        <f>SUM($C$23:C44)/$C$8</f>
        <v>0.34779137839276208</v>
      </c>
      <c r="E44" s="7">
        <f t="shared" si="2"/>
        <v>1225500</v>
      </c>
      <c r="F44" s="73">
        <v>61</v>
      </c>
      <c r="G44" s="65">
        <f t="shared" si="3"/>
        <v>205.12835616438358</v>
      </c>
      <c r="H44" s="66">
        <f t="shared" si="0"/>
        <v>12512.829726027398</v>
      </c>
      <c r="I44" s="66">
        <f>H46+H45+H44+H43-I41</f>
        <v>65126.765479452064</v>
      </c>
    </row>
    <row r="45" spans="1:11">
      <c r="A45" s="20" t="s">
        <v>254</v>
      </c>
      <c r="B45" s="8">
        <v>47381</v>
      </c>
      <c r="C45" s="76">
        <v>50000</v>
      </c>
      <c r="D45" s="9">
        <f>SUM($C$23:C45)/$C$8</f>
        <v>0.37440127727514633</v>
      </c>
      <c r="E45" s="7">
        <f t="shared" si="2"/>
        <v>1175500</v>
      </c>
      <c r="F45" s="73">
        <v>123</v>
      </c>
      <c r="G45" s="65">
        <f t="shared" si="3"/>
        <v>197.08726027397262</v>
      </c>
      <c r="H45" s="66">
        <f t="shared" si="0"/>
        <v>24241.733013698631</v>
      </c>
      <c r="I45" s="66">
        <f>G47*41</f>
        <v>7400.9312841530063</v>
      </c>
    </row>
    <row r="46" spans="1:11">
      <c r="A46" s="20" t="s">
        <v>255</v>
      </c>
      <c r="B46" s="8">
        <v>47442</v>
      </c>
      <c r="C46" s="76">
        <v>50000</v>
      </c>
      <c r="D46" s="9">
        <f>SUM($C$23:C46)/$C$8</f>
        <v>0.40101117615753062</v>
      </c>
      <c r="E46" s="7">
        <f t="shared" si="2"/>
        <v>1125500</v>
      </c>
      <c r="F46" s="73">
        <v>61</v>
      </c>
      <c r="G46" s="65">
        <f t="shared" si="3"/>
        <v>189.04616438356166</v>
      </c>
      <c r="H46" s="66">
        <f t="shared" si="0"/>
        <v>11531.816027397261</v>
      </c>
      <c r="I46" s="66"/>
    </row>
    <row r="47" spans="1:11">
      <c r="A47" s="18" t="s">
        <v>256</v>
      </c>
      <c r="B47" s="12">
        <v>47562</v>
      </c>
      <c r="C47" s="78">
        <v>53000</v>
      </c>
      <c r="D47" s="68">
        <f>SUM($C$23:C47)/$C$8</f>
        <v>0.4292176689728579</v>
      </c>
      <c r="E47" s="4">
        <f t="shared" si="2"/>
        <v>1072500</v>
      </c>
      <c r="F47" s="74">
        <v>120</v>
      </c>
      <c r="G47" s="67">
        <f>E46*$C$14/366</f>
        <v>180.51051912568309</v>
      </c>
      <c r="H47" s="69">
        <f t="shared" si="0"/>
        <v>21661.262295081971</v>
      </c>
      <c r="I47" s="69"/>
    </row>
    <row r="48" spans="1:11">
      <c r="A48" s="18" t="s">
        <v>257</v>
      </c>
      <c r="B48" s="12">
        <v>47623</v>
      </c>
      <c r="C48" s="78">
        <v>53000</v>
      </c>
      <c r="D48" s="68">
        <f>SUM($C$23:C48)/$C$8</f>
        <v>0.45742416178818518</v>
      </c>
      <c r="E48" s="4">
        <f t="shared" si="2"/>
        <v>1019500</v>
      </c>
      <c r="F48" s="74">
        <v>61</v>
      </c>
      <c r="G48" s="67">
        <f>E47*$C$14/366</f>
        <v>172.01024590163934</v>
      </c>
      <c r="H48" s="69">
        <f t="shared" si="0"/>
        <v>10492.625</v>
      </c>
      <c r="I48" s="69">
        <f>H50+H49+H48+H47-I45</f>
        <v>54320.274316939896</v>
      </c>
    </row>
    <row r="49" spans="1:15">
      <c r="A49" s="18" t="s">
        <v>258</v>
      </c>
      <c r="B49" s="12">
        <v>47746</v>
      </c>
      <c r="C49" s="78">
        <v>53000</v>
      </c>
      <c r="D49" s="68">
        <f>SUM($C$23:C49)/$C$8</f>
        <v>0.48563065460351251</v>
      </c>
      <c r="E49" s="4">
        <f t="shared" si="2"/>
        <v>966500</v>
      </c>
      <c r="F49" s="74">
        <v>123</v>
      </c>
      <c r="G49" s="67">
        <f>E48*$C$14/366</f>
        <v>163.50997267759564</v>
      </c>
      <c r="H49" s="69">
        <f t="shared" si="0"/>
        <v>20111.726639344262</v>
      </c>
      <c r="I49" s="69">
        <f>G51*41</f>
        <v>6006.8864754098367</v>
      </c>
    </row>
    <row r="50" spans="1:15">
      <c r="A50" s="18" t="s">
        <v>259</v>
      </c>
      <c r="B50" s="12">
        <v>47807</v>
      </c>
      <c r="C50" s="78">
        <v>53000</v>
      </c>
      <c r="D50" s="68">
        <f>SUM($C$23:C50)/$C$8</f>
        <v>0.51383714741883979</v>
      </c>
      <c r="E50" s="4">
        <f t="shared" si="2"/>
        <v>913500</v>
      </c>
      <c r="F50" s="74">
        <v>61</v>
      </c>
      <c r="G50" s="67">
        <f>E49*$C$14/366</f>
        <v>155.00969945355192</v>
      </c>
      <c r="H50" s="69">
        <f t="shared" si="0"/>
        <v>9455.5916666666672</v>
      </c>
      <c r="I50" s="69"/>
    </row>
    <row r="51" spans="1:15">
      <c r="A51" s="20" t="s">
        <v>260</v>
      </c>
      <c r="B51" s="8">
        <v>47927</v>
      </c>
      <c r="C51" s="76">
        <v>53000</v>
      </c>
      <c r="D51" s="79">
        <f>SUM($C$23:C51)/$C$8</f>
        <v>0.54204364023416707</v>
      </c>
      <c r="E51" s="7">
        <f t="shared" si="2"/>
        <v>860500</v>
      </c>
      <c r="F51" s="73">
        <v>120</v>
      </c>
      <c r="G51" s="65">
        <f t="shared" ref="G51:G66" si="4">E50*$C$14/366</f>
        <v>146.50942622950822</v>
      </c>
      <c r="H51" s="66">
        <f t="shared" si="0"/>
        <v>17581.131147540986</v>
      </c>
      <c r="I51" s="80"/>
    </row>
    <row r="52" spans="1:15">
      <c r="A52" s="20" t="s">
        <v>262</v>
      </c>
      <c r="B52" s="8">
        <v>47988</v>
      </c>
      <c r="C52" s="76">
        <v>53500</v>
      </c>
      <c r="D52" s="79">
        <f>SUM($C$23:C52)/$C$8</f>
        <v>0.57051623203831825</v>
      </c>
      <c r="E52" s="7">
        <f t="shared" si="2"/>
        <v>807000</v>
      </c>
      <c r="F52" s="73">
        <v>61</v>
      </c>
      <c r="G52" s="65">
        <f t="shared" si="4"/>
        <v>138.00915300546447</v>
      </c>
      <c r="H52" s="66">
        <f t="shared" si="0"/>
        <v>8418.5583333333325</v>
      </c>
      <c r="I52" s="66">
        <f>H54+H53+H52+H51-I49</f>
        <v>43284.273360655738</v>
      </c>
      <c r="O52" s="14"/>
    </row>
    <row r="53" spans="1:15">
      <c r="A53" s="20" t="s">
        <v>263</v>
      </c>
      <c r="B53" s="8">
        <v>48111</v>
      </c>
      <c r="C53" s="76">
        <v>53500</v>
      </c>
      <c r="D53" s="79">
        <f>SUM($C$23:C53)/$C$8</f>
        <v>0.59898882384246943</v>
      </c>
      <c r="E53" s="7">
        <f t="shared" si="2"/>
        <v>753500</v>
      </c>
      <c r="F53" s="73">
        <v>123</v>
      </c>
      <c r="G53" s="65">
        <f t="shared" si="4"/>
        <v>129.42868852459017</v>
      </c>
      <c r="H53" s="66">
        <f t="shared" si="0"/>
        <v>15919.72868852459</v>
      </c>
      <c r="I53" s="66">
        <f>G55*41</f>
        <v>4602.978142076503</v>
      </c>
    </row>
    <row r="54" spans="1:15">
      <c r="A54" s="20" t="s">
        <v>264</v>
      </c>
      <c r="B54" s="8">
        <v>48172</v>
      </c>
      <c r="C54" s="76">
        <v>53500</v>
      </c>
      <c r="D54" s="79">
        <f>SUM($C$23:C54)/$C$8</f>
        <v>0.6274614156466205</v>
      </c>
      <c r="E54" s="7">
        <f t="shared" si="2"/>
        <v>700000</v>
      </c>
      <c r="F54" s="73">
        <v>61</v>
      </c>
      <c r="G54" s="65">
        <f t="shared" si="4"/>
        <v>120.84822404371586</v>
      </c>
      <c r="H54" s="66">
        <f t="shared" si="0"/>
        <v>7371.7416666666677</v>
      </c>
      <c r="I54" s="66"/>
    </row>
    <row r="55" spans="1:15">
      <c r="A55" s="18" t="s">
        <v>265</v>
      </c>
      <c r="B55" s="12">
        <v>48293</v>
      </c>
      <c r="C55" s="78">
        <v>56000</v>
      </c>
      <c r="D55" s="68">
        <f>SUM($C$23:C55)/$C$8</f>
        <v>0.65726450239489087</v>
      </c>
      <c r="E55" s="4">
        <f t="shared" si="2"/>
        <v>644000</v>
      </c>
      <c r="F55" s="74">
        <v>121</v>
      </c>
      <c r="G55" s="67">
        <f t="shared" si="4"/>
        <v>112.26775956284153</v>
      </c>
      <c r="H55" s="69">
        <f t="shared" si="0"/>
        <v>13584.398907103825</v>
      </c>
      <c r="I55" s="82"/>
    </row>
    <row r="56" spans="1:15">
      <c r="A56" s="18" t="s">
        <v>266</v>
      </c>
      <c r="B56" s="12">
        <v>48354</v>
      </c>
      <c r="C56" s="78">
        <v>56000</v>
      </c>
      <c r="D56" s="68">
        <f>SUM($C$23:C56)/$C$8</f>
        <v>0.68706758914316124</v>
      </c>
      <c r="E56" s="4">
        <f t="shared" si="2"/>
        <v>588000</v>
      </c>
      <c r="F56" s="74">
        <v>61</v>
      </c>
      <c r="G56" s="67">
        <f t="shared" si="4"/>
        <v>103.28633879781421</v>
      </c>
      <c r="H56" s="69">
        <f t="shared" si="0"/>
        <v>6300.4666666666672</v>
      </c>
      <c r="I56" s="82">
        <f>H58+H57+H56+H55-I53</f>
        <v>32086.125683060109</v>
      </c>
    </row>
    <row r="57" spans="1:15">
      <c r="A57" s="18" t="s">
        <v>267</v>
      </c>
      <c r="B57" s="12">
        <v>48477</v>
      </c>
      <c r="C57" s="78">
        <v>56000</v>
      </c>
      <c r="D57" s="68">
        <f>SUM($C$23:C57)/$C$8</f>
        <v>0.71687067589143161</v>
      </c>
      <c r="E57" s="4">
        <f t="shared" si="2"/>
        <v>532000</v>
      </c>
      <c r="F57" s="74">
        <v>123</v>
      </c>
      <c r="G57" s="67">
        <f t="shared" si="4"/>
        <v>94.304918032786887</v>
      </c>
      <c r="H57" s="69">
        <f t="shared" si="0"/>
        <v>11599.504918032788</v>
      </c>
      <c r="I57" s="82">
        <f>G59*41</f>
        <v>3130.0251366120219</v>
      </c>
    </row>
    <row r="58" spans="1:15">
      <c r="A58" s="18" t="s">
        <v>268</v>
      </c>
      <c r="B58" s="12">
        <v>48538</v>
      </c>
      <c r="C58" s="78">
        <v>56000</v>
      </c>
      <c r="D58" s="68">
        <f>SUM($C$23:C58)/$C$8</f>
        <v>0.74667376263970198</v>
      </c>
      <c r="E58" s="4">
        <f t="shared" si="2"/>
        <v>476000</v>
      </c>
      <c r="F58" s="74">
        <v>61</v>
      </c>
      <c r="G58" s="67">
        <f t="shared" si="4"/>
        <v>85.323497267759564</v>
      </c>
      <c r="H58" s="69">
        <f t="shared" si="0"/>
        <v>5204.7333333333336</v>
      </c>
      <c r="I58" s="82"/>
    </row>
    <row r="59" spans="1:15">
      <c r="A59" s="20" t="s">
        <v>269</v>
      </c>
      <c r="B59" s="8">
        <v>48658</v>
      </c>
      <c r="C59" s="76">
        <v>59000</v>
      </c>
      <c r="D59" s="79">
        <f>SUM($C$23:C59)/$C$8</f>
        <v>0.77807344332091533</v>
      </c>
      <c r="E59" s="7">
        <f t="shared" si="2"/>
        <v>417000</v>
      </c>
      <c r="F59" s="73">
        <v>120</v>
      </c>
      <c r="G59" s="65">
        <f t="shared" si="4"/>
        <v>76.34207650273224</v>
      </c>
      <c r="H59" s="66">
        <f t="shared" si="0"/>
        <v>9161.0491803278692</v>
      </c>
      <c r="I59" s="80"/>
    </row>
    <row r="60" spans="1:15">
      <c r="A60" s="20" t="s">
        <v>270</v>
      </c>
      <c r="B60" s="8">
        <v>48719</v>
      </c>
      <c r="C60" s="76">
        <v>59000</v>
      </c>
      <c r="D60" s="79">
        <f>SUM($C$23:C60)/$C$8</f>
        <v>0.80947312400212879</v>
      </c>
      <c r="E60" s="7">
        <f t="shared" si="2"/>
        <v>358000</v>
      </c>
      <c r="F60" s="73">
        <v>61</v>
      </c>
      <c r="G60" s="65">
        <f t="shared" si="4"/>
        <v>66.879508196721318</v>
      </c>
      <c r="H60" s="66">
        <f t="shared" si="0"/>
        <v>4079.6500000000005</v>
      </c>
      <c r="I60" s="66">
        <f>H62+H61+H60+H59-I57</f>
        <v>20098.174316939891</v>
      </c>
    </row>
    <row r="61" spans="1:15">
      <c r="A61" s="20" t="s">
        <v>271</v>
      </c>
      <c r="B61" s="8">
        <v>48842</v>
      </c>
      <c r="C61" s="76">
        <v>59000</v>
      </c>
      <c r="D61" s="79">
        <f>SUM($C$23:C61)/$C$8</f>
        <v>0.84087280468334225</v>
      </c>
      <c r="E61" s="7">
        <f t="shared" si="2"/>
        <v>299000</v>
      </c>
      <c r="F61" s="73">
        <v>123</v>
      </c>
      <c r="G61" s="65">
        <f t="shared" si="4"/>
        <v>57.416939890710388</v>
      </c>
      <c r="H61" s="66">
        <f t="shared" si="0"/>
        <v>7062.2836065573774</v>
      </c>
      <c r="I61" s="66">
        <f>G63*41</f>
        <v>1578.1639344262294</v>
      </c>
    </row>
    <row r="62" spans="1:15">
      <c r="A62" s="20" t="s">
        <v>272</v>
      </c>
      <c r="B62" s="8">
        <v>48903</v>
      </c>
      <c r="C62" s="76">
        <v>59000</v>
      </c>
      <c r="D62" s="79">
        <f>SUM($C$23:C62)/$C$8</f>
        <v>0.87227248536455559</v>
      </c>
      <c r="E62" s="7">
        <f t="shared" si="2"/>
        <v>240000</v>
      </c>
      <c r="F62" s="73">
        <v>61</v>
      </c>
      <c r="G62" s="65">
        <f t="shared" si="4"/>
        <v>47.954371584699452</v>
      </c>
      <c r="H62" s="66">
        <f t="shared" si="0"/>
        <v>2925.2166666666667</v>
      </c>
      <c r="I62" s="2"/>
    </row>
    <row r="63" spans="1:15">
      <c r="A63" s="18" t="s">
        <v>273</v>
      </c>
      <c r="B63" s="12">
        <v>49023</v>
      </c>
      <c r="C63" s="78">
        <v>60000</v>
      </c>
      <c r="D63" s="68">
        <f>SUM($C$23:C63)/$C$8</f>
        <v>0.90420436402341675</v>
      </c>
      <c r="E63" s="4">
        <f t="shared" si="2"/>
        <v>180000</v>
      </c>
      <c r="F63" s="74">
        <v>120</v>
      </c>
      <c r="G63" s="67">
        <f t="shared" si="4"/>
        <v>38.491803278688522</v>
      </c>
      <c r="H63" s="69">
        <f t="shared" si="0"/>
        <v>4619.0163934426228</v>
      </c>
      <c r="I63" s="81"/>
    </row>
    <row r="64" spans="1:15">
      <c r="A64" s="18" t="s">
        <v>274</v>
      </c>
      <c r="B64" s="12">
        <v>49084</v>
      </c>
      <c r="C64" s="78">
        <v>60000</v>
      </c>
      <c r="D64" s="68">
        <f>SUM($C$23:C64)/$C$8</f>
        <v>0.9361362426822778</v>
      </c>
      <c r="E64" s="4">
        <f t="shared" si="2"/>
        <v>120000</v>
      </c>
      <c r="F64" s="74">
        <v>61</v>
      </c>
      <c r="G64" s="67">
        <f t="shared" si="4"/>
        <v>28.868852459016395</v>
      </c>
      <c r="H64" s="69">
        <f t="shared" si="0"/>
        <v>1761</v>
      </c>
      <c r="I64" s="82">
        <f>H66+H65+H64+H63-I61</f>
        <v>7756.0983606557384</v>
      </c>
    </row>
    <row r="65" spans="1:9">
      <c r="A65" s="18" t="s">
        <v>275</v>
      </c>
      <c r="B65" s="12">
        <v>49207</v>
      </c>
      <c r="C65" s="78">
        <v>60000</v>
      </c>
      <c r="D65" s="68">
        <f>SUM($C$23:C65)/$C$8</f>
        <v>0.96806812134113895</v>
      </c>
      <c r="E65" s="4">
        <f t="shared" si="2"/>
        <v>60000</v>
      </c>
      <c r="F65" s="74">
        <v>123</v>
      </c>
      <c r="G65" s="67">
        <f t="shared" si="4"/>
        <v>19.245901639344261</v>
      </c>
      <c r="H65" s="69">
        <f t="shared" si="0"/>
        <v>2367.2459016393441</v>
      </c>
      <c r="I65" s="81"/>
    </row>
    <row r="66" spans="1:9">
      <c r="A66" s="18" t="s">
        <v>279</v>
      </c>
      <c r="B66" s="12">
        <v>49268</v>
      </c>
      <c r="C66" s="78">
        <v>60000</v>
      </c>
      <c r="D66" s="68">
        <f>SUM($C$23:C66)/$C$8</f>
        <v>1</v>
      </c>
      <c r="E66" s="4">
        <f t="shared" si="2"/>
        <v>0</v>
      </c>
      <c r="F66" s="74">
        <v>61</v>
      </c>
      <c r="G66" s="67">
        <f t="shared" si="4"/>
        <v>9.6229508196721305</v>
      </c>
      <c r="H66" s="69">
        <f t="shared" si="0"/>
        <v>587</v>
      </c>
      <c r="I66" s="81"/>
    </row>
    <row r="67" spans="1:9">
      <c r="C67" s="70">
        <f>SUM(C23:C66)</f>
        <v>1879000</v>
      </c>
      <c r="H67" s="14">
        <f>SUM(H23:H66)</f>
        <v>680639.46857399517</v>
      </c>
      <c r="I67" s="70">
        <f>SUM(I23:I66)</f>
        <v>680639.46857399517</v>
      </c>
    </row>
    <row r="69" spans="1:9">
      <c r="F69" s="75">
        <f>SUM(F24:F68)</f>
        <v>3794</v>
      </c>
    </row>
    <row r="70" spans="1:9">
      <c r="H70" s="14">
        <f>SUM(H23:H66)</f>
        <v>680639.46857399517</v>
      </c>
      <c r="I70" s="14"/>
    </row>
  </sheetData>
  <sheetProtection algorithmName="SHA-512" hashValue="EnK+P3Za6HnMExwlx98qXDPRgkCsneJOEZm59/AAbg4tLDdsHPiobtoV3Za2UVUip+NotksbaDN5EgWqHU0Lzw==" saltValue="VLrx0VfQfH0NcH40VGbzXg==" spinCount="100000" sheet="1" objects="1" scenarios="1"/>
  <mergeCells count="7">
    <mergeCell ref="A17:B17"/>
    <mergeCell ref="A18:B18"/>
    <mergeCell ref="A10:E10"/>
    <mergeCell ref="A12:B12"/>
    <mergeCell ref="A13:B13"/>
    <mergeCell ref="A14:B14"/>
    <mergeCell ref="A16:B1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0EBC-722D-4280-AFAA-362B94DCCA42}">
  <dimension ref="A1:T31"/>
  <sheetViews>
    <sheetView workbookViewId="0">
      <selection activeCell="B5" sqref="B5"/>
    </sheetView>
  </sheetViews>
  <sheetFormatPr defaultRowHeight="15"/>
  <cols>
    <col min="2" max="6" width="13.28515625" customWidth="1"/>
    <col min="7" max="7" width="2.42578125" customWidth="1"/>
    <col min="8" max="14" width="13.28515625" customWidth="1"/>
    <col min="15" max="15" width="1.7109375" customWidth="1"/>
    <col min="16" max="16" width="13.28515625" customWidth="1"/>
  </cols>
  <sheetData>
    <row r="1" spans="1:17">
      <c r="B1" s="38" t="s">
        <v>197</v>
      </c>
      <c r="C1" s="38" t="s">
        <v>198</v>
      </c>
      <c r="D1" s="38" t="s">
        <v>199</v>
      </c>
      <c r="E1" s="38" t="s">
        <v>200</v>
      </c>
      <c r="F1" s="38" t="s">
        <v>201</v>
      </c>
      <c r="H1" s="38" t="s">
        <v>202</v>
      </c>
      <c r="I1" s="38" t="s">
        <v>203</v>
      </c>
      <c r="J1" s="38" t="s">
        <v>204</v>
      </c>
      <c r="L1" s="38" t="s">
        <v>206</v>
      </c>
      <c r="M1" s="38" t="s">
        <v>207</v>
      </c>
      <c r="N1" s="38" t="s">
        <v>208</v>
      </c>
      <c r="P1" s="38" t="s">
        <v>209</v>
      </c>
    </row>
    <row r="2" spans="1:17">
      <c r="A2" t="s">
        <v>196</v>
      </c>
      <c r="B2" s="14">
        <v>10039500.98</v>
      </c>
      <c r="C2" s="14">
        <v>488500</v>
      </c>
      <c r="D2" s="14">
        <v>9551000.9800000004</v>
      </c>
      <c r="E2" s="14">
        <v>8201000.9800000004</v>
      </c>
      <c r="F2" s="14">
        <v>1350000</v>
      </c>
      <c r="G2" s="14"/>
      <c r="H2" s="14">
        <v>8264500.9800000004</v>
      </c>
      <c r="I2" s="14">
        <v>6914500.9800000004</v>
      </c>
      <c r="J2" s="14">
        <v>6914500.9800000004</v>
      </c>
      <c r="K2" s="14"/>
      <c r="L2" s="14"/>
      <c r="N2" s="14"/>
    </row>
    <row r="3" spans="1:17">
      <c r="A3" t="s">
        <v>205</v>
      </c>
      <c r="B3" s="14">
        <v>8459701</v>
      </c>
      <c r="C3" s="14">
        <v>473700</v>
      </c>
      <c r="D3" s="14">
        <v>7986001</v>
      </c>
      <c r="E3" s="14">
        <f>D3</f>
        <v>7986001</v>
      </c>
      <c r="F3" s="14">
        <v>0</v>
      </c>
      <c r="G3" s="14"/>
      <c r="H3" s="14">
        <v>6769701</v>
      </c>
      <c r="I3" s="14">
        <f t="shared" ref="I3:J5" si="0">H3</f>
        <v>6769701</v>
      </c>
      <c r="J3" s="14">
        <f t="shared" si="0"/>
        <v>6769701</v>
      </c>
      <c r="K3" s="14"/>
      <c r="L3" s="14">
        <f>B2-B3</f>
        <v>1579799.9800000004</v>
      </c>
      <c r="P3" s="14">
        <f>J2-J3</f>
        <v>144799.98000000045</v>
      </c>
    </row>
    <row r="4" spans="1:17">
      <c r="A4" t="s">
        <v>188</v>
      </c>
      <c r="B4" s="14">
        <v>8229901.0199999996</v>
      </c>
      <c r="C4" s="14">
        <v>458900</v>
      </c>
      <c r="D4" s="14">
        <v>7771001.0199999996</v>
      </c>
      <c r="E4" s="14">
        <f>D4</f>
        <v>7771001.0199999996</v>
      </c>
      <c r="F4" s="14">
        <v>0</v>
      </c>
      <c r="G4" s="14"/>
      <c r="H4" s="14">
        <v>6624901.0199999996</v>
      </c>
      <c r="I4" s="14">
        <f t="shared" si="0"/>
        <v>6624901.0199999996</v>
      </c>
      <c r="J4" s="14">
        <f t="shared" si="0"/>
        <v>6624901.0199999996</v>
      </c>
      <c r="K4" s="14"/>
      <c r="L4" s="14">
        <f>B3-B4</f>
        <v>229799.98000000045</v>
      </c>
      <c r="P4" s="14">
        <f>J3-J4</f>
        <v>144799.98000000045</v>
      </c>
    </row>
    <row r="5" spans="1:17">
      <c r="A5" t="s">
        <v>191</v>
      </c>
      <c r="B5" s="14">
        <v>10385100</v>
      </c>
      <c r="C5" s="14">
        <v>444100</v>
      </c>
      <c r="D5" s="14">
        <v>9941000</v>
      </c>
      <c r="E5" s="14">
        <f>D5</f>
        <v>9941000</v>
      </c>
      <c r="F5" s="14">
        <v>0</v>
      </c>
      <c r="G5" s="14"/>
      <c r="H5" s="14">
        <v>6980100</v>
      </c>
      <c r="I5" s="14">
        <f t="shared" si="0"/>
        <v>6980100</v>
      </c>
      <c r="J5" s="14">
        <f t="shared" si="0"/>
        <v>6980100</v>
      </c>
      <c r="K5" s="14"/>
      <c r="L5" s="14" t="e">
        <f>SUM(TOTAL!B36:O36)-SUM(TOTAL!B35:O35)</f>
        <v>#REF!</v>
      </c>
      <c r="M5" s="14">
        <f>TOTAL!N37+TOTAL!O37</f>
        <v>2385000</v>
      </c>
      <c r="N5" s="14" t="e">
        <f>M5-L5</f>
        <v>#REF!</v>
      </c>
      <c r="P5" s="14">
        <f t="shared" ref="P5" si="1">J4-J5</f>
        <v>-355198.98000000045</v>
      </c>
      <c r="Q5">
        <v>500000</v>
      </c>
    </row>
    <row r="6" spans="1:17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P6" s="14"/>
    </row>
    <row r="7" spans="1:17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P7" s="14"/>
    </row>
    <row r="8" spans="1:17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P8" s="14"/>
    </row>
    <row r="9" spans="1:17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7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7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7">
      <c r="B12" s="14"/>
      <c r="C12" s="14" t="s">
        <v>216</v>
      </c>
      <c r="D12" s="14" t="s">
        <v>217</v>
      </c>
      <c r="E12" s="14" t="s">
        <v>218</v>
      </c>
      <c r="F12" s="14"/>
      <c r="G12" s="14"/>
      <c r="H12" s="14"/>
      <c r="I12" s="14"/>
      <c r="J12" s="14"/>
      <c r="K12" s="14"/>
      <c r="L12" s="14"/>
    </row>
    <row r="13" spans="1:17">
      <c r="A13" t="s">
        <v>210</v>
      </c>
      <c r="B13" s="14"/>
      <c r="C13" s="39" t="s">
        <v>213</v>
      </c>
      <c r="D13" s="39" t="s">
        <v>214</v>
      </c>
      <c r="E13" s="39" t="s">
        <v>215</v>
      </c>
      <c r="F13" s="14" t="s">
        <v>186</v>
      </c>
      <c r="G13" s="14"/>
      <c r="H13" s="14"/>
      <c r="I13" s="14"/>
      <c r="J13" s="14"/>
      <c r="K13" s="14"/>
      <c r="L13" s="14"/>
    </row>
    <row r="14" spans="1:17">
      <c r="A14" t="s">
        <v>211</v>
      </c>
      <c r="B14" s="14">
        <f>C5</f>
        <v>444100</v>
      </c>
      <c r="C14" s="14">
        <f>SUM(TOTAL!B15:D15)</f>
        <v>67360</v>
      </c>
      <c r="D14" s="14">
        <f>SUM(TOTAL!B16:D19)</f>
        <v>269440</v>
      </c>
      <c r="E14" s="14">
        <f>SUM(TOTAL!B20:D25)</f>
        <v>107300</v>
      </c>
      <c r="F14" s="14">
        <f>B14-C14-D14-E14</f>
        <v>0</v>
      </c>
      <c r="G14" s="14"/>
      <c r="H14" s="14"/>
      <c r="I14" s="14"/>
      <c r="J14" s="14"/>
      <c r="K14" s="14"/>
      <c r="L14" s="14"/>
    </row>
    <row r="15" spans="1:17">
      <c r="A15" t="s">
        <v>212</v>
      </c>
      <c r="B15" s="14">
        <f>D5</f>
        <v>9941000</v>
      </c>
      <c r="C15" s="14" t="e">
        <f>SUM(TOTAL!E15:O15)</f>
        <v>#REF!</v>
      </c>
      <c r="D15" s="14" t="e">
        <f>SUM(TOTAL!E16:O19)</f>
        <v>#REF!</v>
      </c>
      <c r="E15" s="14" t="e">
        <f>SUM(TOTAL!E20:O25)</f>
        <v>#REF!</v>
      </c>
      <c r="F15" s="14" t="e">
        <f>B15-C15-D15-E15</f>
        <v>#REF!</v>
      </c>
      <c r="G15" s="14"/>
      <c r="H15" s="14"/>
      <c r="I15" s="14"/>
      <c r="J15" s="14"/>
      <c r="K15" s="14"/>
      <c r="L15" s="14"/>
    </row>
    <row r="16" spans="1:17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20">
      <c r="B17" s="14" t="e">
        <f>SUM(TOTAL!B37:O37)</f>
        <v>#REF!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20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2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20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20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T21">
        <f>1572225.11+485019</f>
        <v>2057244.11</v>
      </c>
    </row>
    <row r="22" spans="2:20">
      <c r="B22" s="14">
        <f>B15-500000</f>
        <v>9441000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20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20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20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20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20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20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20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20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20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7C64-15B1-4250-8753-10E993E342E0}">
  <dimension ref="C2:M35"/>
  <sheetViews>
    <sheetView workbookViewId="0">
      <selection activeCell="E17" sqref="E17"/>
    </sheetView>
  </sheetViews>
  <sheetFormatPr defaultRowHeight="15"/>
  <cols>
    <col min="3" max="3" width="9.140625" style="15"/>
    <col min="4" max="4" width="14.5703125" customWidth="1"/>
    <col min="5" max="5" width="13.42578125" customWidth="1"/>
    <col min="6" max="6" width="13.28515625" customWidth="1"/>
    <col min="7" max="7" width="12" customWidth="1"/>
    <col min="8" max="8" width="12.140625" customWidth="1"/>
    <col min="9" max="9" width="10" bestFit="1" customWidth="1"/>
    <col min="13" max="13" width="15.28515625" customWidth="1"/>
  </cols>
  <sheetData>
    <row r="2" spans="3:13">
      <c r="C2" s="15" t="s">
        <v>172</v>
      </c>
      <c r="D2" t="s">
        <v>173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M2" t="s">
        <v>174</v>
      </c>
    </row>
    <row r="3" spans="3:13" hidden="1">
      <c r="C3" s="15">
        <v>2007</v>
      </c>
      <c r="D3" s="14">
        <v>199999.92</v>
      </c>
      <c r="M3" s="14">
        <v>2400000.08</v>
      </c>
    </row>
    <row r="4" spans="3:13" hidden="1">
      <c r="C4" s="15">
        <v>2008</v>
      </c>
      <c r="D4" s="14">
        <v>199999.92</v>
      </c>
      <c r="M4" s="14">
        <v>2200000.16</v>
      </c>
    </row>
    <row r="5" spans="3:13" hidden="1">
      <c r="C5" s="15">
        <v>2009</v>
      </c>
      <c r="D5" s="14">
        <v>199999.92</v>
      </c>
      <c r="M5" s="14">
        <v>2000000.24</v>
      </c>
    </row>
    <row r="6" spans="3:13" hidden="1">
      <c r="C6" s="15">
        <v>2010</v>
      </c>
      <c r="D6" s="14">
        <v>199999.92</v>
      </c>
      <c r="M6" s="14">
        <v>1800000.3199999998</v>
      </c>
    </row>
    <row r="7" spans="3:13" hidden="1">
      <c r="C7" s="15">
        <v>2011</v>
      </c>
      <c r="D7" s="14">
        <v>263351.92000000004</v>
      </c>
      <c r="M7" s="14">
        <v>2043465.21</v>
      </c>
    </row>
    <row r="8" spans="3:13" hidden="1">
      <c r="C8" s="15">
        <v>2012</v>
      </c>
      <c r="D8" s="14">
        <v>358100.92000000004</v>
      </c>
      <c r="M8" s="14">
        <v>3086613.29</v>
      </c>
    </row>
    <row r="9" spans="3:13" hidden="1">
      <c r="C9" s="15">
        <v>2013</v>
      </c>
      <c r="D9" s="14">
        <v>436551.92000000004</v>
      </c>
      <c r="M9" s="14">
        <v>5650061.3700000001</v>
      </c>
    </row>
    <row r="10" spans="3:13" hidden="1">
      <c r="C10" s="15">
        <v>2014</v>
      </c>
      <c r="D10" s="14">
        <v>532551.92000000004</v>
      </c>
      <c r="M10" s="14">
        <v>5717509.4500000002</v>
      </c>
    </row>
    <row r="11" spans="3:13" hidden="1">
      <c r="C11" s="15">
        <v>2015</v>
      </c>
      <c r="D11" s="14">
        <v>602551.92000000004</v>
      </c>
      <c r="M11" s="14">
        <v>5114957.53</v>
      </c>
    </row>
    <row r="12" spans="3:13" hidden="1">
      <c r="C12" s="15">
        <v>2016</v>
      </c>
      <c r="D12" s="14">
        <v>592551.92000000004</v>
      </c>
      <c r="M12" s="14">
        <v>4522405.6100000003</v>
      </c>
    </row>
    <row r="13" spans="3:13" hidden="1">
      <c r="C13" s="15">
        <v>2017</v>
      </c>
      <c r="D13" s="14">
        <v>605885.26</v>
      </c>
      <c r="M13" s="14">
        <v>4256520.3499999996</v>
      </c>
    </row>
    <row r="14" spans="3:13" hidden="1">
      <c r="C14" s="15">
        <v>2018</v>
      </c>
      <c r="D14" s="14">
        <v>749599.39000000013</v>
      </c>
      <c r="M14" s="14">
        <v>7919300.96</v>
      </c>
    </row>
    <row r="15" spans="3:13">
      <c r="C15" s="15">
        <v>2019</v>
      </c>
      <c r="D15" s="14">
        <v>2269200.96</v>
      </c>
      <c r="E15" s="34">
        <v>2269201</v>
      </c>
      <c r="M15" s="14">
        <v>8000100</v>
      </c>
    </row>
    <row r="16" spans="3:13">
      <c r="C16" s="15">
        <v>2020</v>
      </c>
      <c r="D16" s="14">
        <v>977360</v>
      </c>
      <c r="E16" s="14">
        <v>1177360</v>
      </c>
      <c r="F16" s="14">
        <f>E16-D16</f>
        <v>200000</v>
      </c>
      <c r="G16" s="14">
        <v>100000</v>
      </c>
      <c r="H16" s="14">
        <f>F16-G16</f>
        <v>100000</v>
      </c>
      <c r="I16" s="14">
        <f>F16-G16-H16</f>
        <v>0</v>
      </c>
      <c r="M16" s="14">
        <v>7022740</v>
      </c>
    </row>
    <row r="17" spans="3:13">
      <c r="C17" s="15">
        <v>2021</v>
      </c>
      <c r="D17" s="14">
        <v>927360</v>
      </c>
      <c r="E17" s="14">
        <v>1227360</v>
      </c>
      <c r="F17" s="14">
        <f t="shared" ref="F17:F26" si="0">E17-D17</f>
        <v>300000</v>
      </c>
      <c r="G17" s="14">
        <v>200000</v>
      </c>
      <c r="H17" s="14">
        <f t="shared" ref="H17:H26" si="1">F17-G17</f>
        <v>100000</v>
      </c>
      <c r="I17" s="14">
        <f t="shared" ref="I17:I26" si="2">F17-G17-H17</f>
        <v>0</v>
      </c>
      <c r="M17" s="14">
        <v>6095380</v>
      </c>
    </row>
    <row r="18" spans="3:13">
      <c r="C18" s="15">
        <v>2022</v>
      </c>
      <c r="D18" s="14">
        <v>907360</v>
      </c>
      <c r="E18" s="14">
        <v>1257360</v>
      </c>
      <c r="F18" s="14">
        <f t="shared" si="0"/>
        <v>350000</v>
      </c>
      <c r="G18" s="14">
        <v>200000</v>
      </c>
      <c r="H18" s="14">
        <f t="shared" si="1"/>
        <v>150000</v>
      </c>
      <c r="I18" s="14">
        <f t="shared" si="2"/>
        <v>0</v>
      </c>
      <c r="M18" s="14">
        <v>5188020</v>
      </c>
    </row>
    <row r="19" spans="3:13">
      <c r="C19" s="15">
        <v>2023</v>
      </c>
      <c r="D19" s="14">
        <v>887360</v>
      </c>
      <c r="E19" s="14">
        <v>1037360</v>
      </c>
      <c r="F19" s="14">
        <f t="shared" si="0"/>
        <v>150000</v>
      </c>
      <c r="H19" s="14">
        <f t="shared" si="1"/>
        <v>150000</v>
      </c>
      <c r="I19" s="14">
        <f t="shared" si="2"/>
        <v>0</v>
      </c>
      <c r="M19" s="14">
        <v>4300660</v>
      </c>
    </row>
    <row r="20" spans="3:13">
      <c r="C20" s="15">
        <v>2024</v>
      </c>
      <c r="D20" s="14">
        <v>857360</v>
      </c>
      <c r="E20" s="14">
        <v>1042360</v>
      </c>
      <c r="F20" s="14">
        <f t="shared" si="0"/>
        <v>185000</v>
      </c>
      <c r="H20" s="14">
        <f t="shared" si="1"/>
        <v>185000</v>
      </c>
      <c r="I20" s="14">
        <f t="shared" si="2"/>
        <v>0</v>
      </c>
      <c r="M20" s="14">
        <v>3443300</v>
      </c>
    </row>
    <row r="21" spans="3:13">
      <c r="C21" s="15">
        <v>2025</v>
      </c>
      <c r="D21" s="14">
        <v>757360</v>
      </c>
      <c r="E21" s="14">
        <v>957360</v>
      </c>
      <c r="F21" s="14">
        <f t="shared" si="0"/>
        <v>200000</v>
      </c>
      <c r="H21" s="14">
        <f t="shared" si="1"/>
        <v>200000</v>
      </c>
      <c r="I21" s="14">
        <f t="shared" si="2"/>
        <v>0</v>
      </c>
      <c r="M21" s="14">
        <v>2685940</v>
      </c>
    </row>
    <row r="22" spans="3:13">
      <c r="C22" s="15">
        <v>2026</v>
      </c>
      <c r="D22" s="14">
        <v>619940</v>
      </c>
      <c r="E22" s="14">
        <v>819940</v>
      </c>
      <c r="F22" s="14">
        <f t="shared" si="0"/>
        <v>200000</v>
      </c>
      <c r="H22" s="14">
        <f t="shared" si="1"/>
        <v>200000</v>
      </c>
      <c r="I22" s="14">
        <f t="shared" si="2"/>
        <v>0</v>
      </c>
      <c r="M22" s="14">
        <v>2066000</v>
      </c>
    </row>
    <row r="23" spans="3:13">
      <c r="C23" s="15">
        <v>2027</v>
      </c>
      <c r="D23" s="14">
        <v>580000</v>
      </c>
      <c r="E23" s="14">
        <v>780000</v>
      </c>
      <c r="F23" s="14">
        <f t="shared" si="0"/>
        <v>200000</v>
      </c>
      <c r="H23" s="14">
        <f t="shared" si="1"/>
        <v>200000</v>
      </c>
      <c r="I23" s="14">
        <f t="shared" si="2"/>
        <v>0</v>
      </c>
      <c r="M23" s="14">
        <v>1486000</v>
      </c>
    </row>
    <row r="24" spans="3:13">
      <c r="C24" s="15">
        <v>2028</v>
      </c>
      <c r="D24" s="14">
        <v>530000</v>
      </c>
      <c r="E24" s="14">
        <v>730000</v>
      </c>
      <c r="F24" s="14">
        <f t="shared" si="0"/>
        <v>200000</v>
      </c>
      <c r="H24" s="14">
        <f t="shared" si="1"/>
        <v>200000</v>
      </c>
      <c r="I24" s="14">
        <f t="shared" si="2"/>
        <v>0</v>
      </c>
      <c r="M24" s="14">
        <v>956000</v>
      </c>
    </row>
    <row r="25" spans="3:13">
      <c r="C25" s="15">
        <v>2029</v>
      </c>
      <c r="D25" s="14">
        <v>530000</v>
      </c>
      <c r="E25" s="14">
        <v>730000</v>
      </c>
      <c r="F25" s="14">
        <f t="shared" si="0"/>
        <v>200000</v>
      </c>
      <c r="H25" s="14">
        <f t="shared" si="1"/>
        <v>200000</v>
      </c>
      <c r="I25" s="14">
        <f t="shared" si="2"/>
        <v>0</v>
      </c>
      <c r="M25" s="14">
        <v>426000</v>
      </c>
    </row>
    <row r="26" spans="3:13">
      <c r="C26" s="15">
        <v>2030</v>
      </c>
      <c r="D26" s="14">
        <v>426000</v>
      </c>
      <c r="E26" s="14">
        <v>625999.96</v>
      </c>
      <c r="F26" s="14">
        <f t="shared" si="0"/>
        <v>199999.95999999996</v>
      </c>
      <c r="H26" s="14">
        <f t="shared" si="1"/>
        <v>199999.95999999996</v>
      </c>
      <c r="I26" s="14">
        <f t="shared" si="2"/>
        <v>0</v>
      </c>
      <c r="M26" s="14">
        <v>0</v>
      </c>
    </row>
    <row r="27" spans="3:13">
      <c r="G27" s="14">
        <f>SUM(G16:G18)</f>
        <v>500000</v>
      </c>
      <c r="H27" s="14">
        <f>SUM(H16:H26)</f>
        <v>1884999.96</v>
      </c>
    </row>
    <row r="29" spans="3:13">
      <c r="G29" t="s">
        <v>187</v>
      </c>
    </row>
    <row r="32" spans="3:13">
      <c r="G32">
        <f>500/3</f>
        <v>166.66666666666666</v>
      </c>
      <c r="M32">
        <v>12654300.960000001</v>
      </c>
    </row>
    <row r="35" spans="13:13">
      <c r="M35">
        <f>SUM(E15:E26)</f>
        <v>12654300.960000001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workbookViewId="0">
      <selection activeCell="E9" sqref="E9"/>
    </sheetView>
  </sheetViews>
  <sheetFormatPr defaultRowHeight="15"/>
  <cols>
    <col min="2" max="3" width="13.42578125" bestFit="1" customWidth="1"/>
    <col min="4" max="4" width="12.28515625" bestFit="1" customWidth="1"/>
    <col min="5" max="5" width="17.28515625" customWidth="1"/>
    <col min="9" max="9" width="13.42578125" bestFit="1" customWidth="1"/>
  </cols>
  <sheetData>
    <row r="1" spans="1:9">
      <c r="A1" t="s">
        <v>0</v>
      </c>
      <c r="C1" s="1">
        <v>726249</v>
      </c>
    </row>
    <row r="2" spans="1:9">
      <c r="A2" t="s">
        <v>1</v>
      </c>
      <c r="C2">
        <v>2011</v>
      </c>
    </row>
    <row r="3" spans="1:9">
      <c r="A3" t="s">
        <v>2</v>
      </c>
      <c r="C3" t="s">
        <v>3</v>
      </c>
    </row>
    <row r="4" spans="1:9">
      <c r="A4" t="s">
        <v>4</v>
      </c>
      <c r="C4" t="s">
        <v>5</v>
      </c>
    </row>
    <row r="5" spans="1:9">
      <c r="A5" t="s">
        <v>6</v>
      </c>
      <c r="C5" t="s">
        <v>7</v>
      </c>
    </row>
    <row r="6" spans="1:9">
      <c r="A6" t="s">
        <v>8</v>
      </c>
      <c r="C6" t="s">
        <v>9</v>
      </c>
    </row>
    <row r="8" spans="1:9" ht="30.75" customHeight="1">
      <c r="A8" s="10" t="s">
        <v>10</v>
      </c>
      <c r="B8" s="10" t="s">
        <v>11</v>
      </c>
      <c r="C8" s="11" t="s">
        <v>12</v>
      </c>
      <c r="D8" s="10" t="s">
        <v>77</v>
      </c>
    </row>
    <row r="9" spans="1:9">
      <c r="A9" s="2">
        <v>1</v>
      </c>
      <c r="B9" s="4">
        <v>12849</v>
      </c>
      <c r="C9" s="12" t="s">
        <v>13</v>
      </c>
      <c r="D9" s="9">
        <f>SUM($B$9:B9)/$C$1</f>
        <v>1.7692279094360198E-2</v>
      </c>
      <c r="E9" s="23">
        <f>C1-B9</f>
        <v>713400</v>
      </c>
      <c r="H9">
        <v>2012</v>
      </c>
      <c r="I9" s="1">
        <f>SUM(B9:B12)</f>
        <v>49749</v>
      </c>
    </row>
    <row r="10" spans="1:9">
      <c r="A10" s="2">
        <v>2</v>
      </c>
      <c r="B10" s="4">
        <v>12300</v>
      </c>
      <c r="C10" s="12" t="s">
        <v>14</v>
      </c>
      <c r="D10" s="9">
        <f>SUM($B$9:B10)/$C$1</f>
        <v>3.4628619109974682E-2</v>
      </c>
      <c r="E10" s="23">
        <f>E9-B10</f>
        <v>701100</v>
      </c>
      <c r="H10">
        <v>2013</v>
      </c>
      <c r="I10" s="1">
        <f>SUM(B13:B16)</f>
        <v>49200</v>
      </c>
    </row>
    <row r="11" spans="1:9">
      <c r="A11" s="2">
        <v>3</v>
      </c>
      <c r="B11" s="4">
        <v>12300</v>
      </c>
      <c r="C11" s="12" t="s">
        <v>18</v>
      </c>
      <c r="D11" s="9">
        <f>SUM($B$9:B11)/$C$1</f>
        <v>5.1564959125589158E-2</v>
      </c>
      <c r="E11" s="23">
        <f t="shared" ref="E11:E67" si="0">E10-B11</f>
        <v>688800</v>
      </c>
      <c r="H11">
        <v>2014</v>
      </c>
      <c r="I11" s="1">
        <f>SUM(B17:B20)</f>
        <v>49200</v>
      </c>
    </row>
    <row r="12" spans="1:9">
      <c r="A12" s="2">
        <v>4</v>
      </c>
      <c r="B12" s="4">
        <v>12300</v>
      </c>
      <c r="C12" s="12" t="s">
        <v>19</v>
      </c>
      <c r="D12" s="9">
        <f>SUM($B$9:B12)/$C$1</f>
        <v>6.8501299141203634E-2</v>
      </c>
      <c r="E12" s="23">
        <f t="shared" si="0"/>
        <v>676500</v>
      </c>
      <c r="H12">
        <v>2015</v>
      </c>
      <c r="I12" s="1">
        <f>SUM(B21:B24)</f>
        <v>49200</v>
      </c>
    </row>
    <row r="13" spans="1:9">
      <c r="A13" s="2">
        <v>5</v>
      </c>
      <c r="B13" s="7">
        <v>12300</v>
      </c>
      <c r="C13" s="8" t="s">
        <v>15</v>
      </c>
      <c r="D13" s="9">
        <f>SUM($B$9:B13)/$C$1</f>
        <v>8.543763915681811E-2</v>
      </c>
      <c r="E13" s="23">
        <f t="shared" si="0"/>
        <v>664200</v>
      </c>
      <c r="H13">
        <v>2016</v>
      </c>
      <c r="I13" s="1">
        <f>SUM(B25:B28)</f>
        <v>49200</v>
      </c>
    </row>
    <row r="14" spans="1:9">
      <c r="A14" s="2">
        <v>6</v>
      </c>
      <c r="B14" s="7">
        <v>12300</v>
      </c>
      <c r="C14" s="8" t="s">
        <v>16</v>
      </c>
      <c r="D14" s="9">
        <f>SUM($B$9:B14)/$C$1</f>
        <v>0.1023739791724326</v>
      </c>
      <c r="E14" s="23">
        <f t="shared" si="0"/>
        <v>651900</v>
      </c>
      <c r="H14">
        <v>2017</v>
      </c>
      <c r="I14" s="1">
        <f>SUM(B29:B32)</f>
        <v>49200</v>
      </c>
    </row>
    <row r="15" spans="1:9">
      <c r="A15" s="2">
        <v>7</v>
      </c>
      <c r="B15" s="7">
        <v>12300</v>
      </c>
      <c r="C15" s="8" t="s">
        <v>20</v>
      </c>
      <c r="D15" s="9">
        <f>SUM($B$9:B15)/$C$1</f>
        <v>0.11931031918804708</v>
      </c>
      <c r="E15" s="23">
        <f t="shared" si="0"/>
        <v>639600</v>
      </c>
      <c r="H15">
        <v>2018</v>
      </c>
      <c r="I15" s="1">
        <f>SUM(B33:B36)</f>
        <v>49200</v>
      </c>
    </row>
    <row r="16" spans="1:9">
      <c r="A16" s="2">
        <v>8</v>
      </c>
      <c r="B16" s="7">
        <v>12300</v>
      </c>
      <c r="C16" s="8" t="s">
        <v>21</v>
      </c>
      <c r="D16" s="9">
        <f>SUM($B$9:B16)/$C$1</f>
        <v>0.13624665920366155</v>
      </c>
      <c r="E16" s="23">
        <f t="shared" si="0"/>
        <v>627300</v>
      </c>
      <c r="H16">
        <v>2019</v>
      </c>
      <c r="I16" s="1">
        <f>SUM(B37:B40)</f>
        <v>49200</v>
      </c>
    </row>
    <row r="17" spans="1:9">
      <c r="A17" s="2">
        <v>9</v>
      </c>
      <c r="B17" s="4">
        <v>12300</v>
      </c>
      <c r="C17" s="12" t="s">
        <v>22</v>
      </c>
      <c r="D17" s="9">
        <f>SUM($B$9:B17)/$C$1</f>
        <v>0.15318299921927603</v>
      </c>
      <c r="E17" s="23">
        <f t="shared" si="0"/>
        <v>615000</v>
      </c>
      <c r="H17">
        <v>2020</v>
      </c>
      <c r="I17" s="1">
        <f>SUM(B41:B44)</f>
        <v>49200</v>
      </c>
    </row>
    <row r="18" spans="1:9">
      <c r="A18" s="2">
        <v>10</v>
      </c>
      <c r="B18" s="4">
        <v>12300</v>
      </c>
      <c r="C18" s="12" t="s">
        <v>17</v>
      </c>
      <c r="D18" s="9">
        <f>SUM($B$9:B18)/$C$1</f>
        <v>0.1701193392348905</v>
      </c>
      <c r="E18" s="23">
        <f t="shared" si="0"/>
        <v>602700</v>
      </c>
      <c r="H18">
        <v>2021</v>
      </c>
      <c r="I18" s="1">
        <f>SUM(B45:B48)</f>
        <v>49200</v>
      </c>
    </row>
    <row r="19" spans="1:9">
      <c r="A19" s="2">
        <v>11</v>
      </c>
      <c r="B19" s="4">
        <v>12300</v>
      </c>
      <c r="C19" s="12" t="s">
        <v>61</v>
      </c>
      <c r="D19" s="9">
        <f>SUM($B$9:B19)/$C$1</f>
        <v>0.18705567925050498</v>
      </c>
      <c r="E19" s="23">
        <f t="shared" si="0"/>
        <v>590400</v>
      </c>
      <c r="H19">
        <v>2022</v>
      </c>
      <c r="I19" s="1">
        <f>SUM(B49:B52)</f>
        <v>49200</v>
      </c>
    </row>
    <row r="20" spans="1:9">
      <c r="A20" s="2">
        <v>12</v>
      </c>
      <c r="B20" s="4">
        <v>12300</v>
      </c>
      <c r="C20" s="12" t="s">
        <v>62</v>
      </c>
      <c r="D20" s="9">
        <f>SUM($B$9:B20)/$C$1</f>
        <v>0.20399201926611948</v>
      </c>
      <c r="E20" s="23">
        <f t="shared" si="0"/>
        <v>578100</v>
      </c>
      <c r="H20">
        <v>2023</v>
      </c>
      <c r="I20" s="1">
        <f>SUM(B53:B56)</f>
        <v>49200</v>
      </c>
    </row>
    <row r="21" spans="1:9">
      <c r="A21" s="2">
        <v>13</v>
      </c>
      <c r="B21" s="7">
        <v>12300</v>
      </c>
      <c r="C21" s="8" t="s">
        <v>23</v>
      </c>
      <c r="D21" s="9">
        <f>SUM($B$9:B21)/$C$1</f>
        <v>0.22092835928173396</v>
      </c>
      <c r="E21" s="23">
        <f t="shared" si="0"/>
        <v>565800</v>
      </c>
      <c r="H21">
        <v>2024</v>
      </c>
      <c r="I21" s="1">
        <f>SUM(B57:B60)</f>
        <v>49200</v>
      </c>
    </row>
    <row r="22" spans="1:9">
      <c r="A22" s="2">
        <v>14</v>
      </c>
      <c r="B22" s="7">
        <v>12300</v>
      </c>
      <c r="C22" s="8" t="s">
        <v>63</v>
      </c>
      <c r="D22" s="9">
        <f>SUM($B$9:B22)/$C$1</f>
        <v>0.23786469929734844</v>
      </c>
      <c r="E22" s="23">
        <f t="shared" si="0"/>
        <v>553500</v>
      </c>
      <c r="H22">
        <v>2025</v>
      </c>
      <c r="I22" s="1">
        <f>SUM(B61:B64)</f>
        <v>49200</v>
      </c>
    </row>
    <row r="23" spans="1:9">
      <c r="A23" s="2">
        <v>15</v>
      </c>
      <c r="B23" s="7">
        <v>12300</v>
      </c>
      <c r="C23" s="8" t="s">
        <v>64</v>
      </c>
      <c r="D23" s="9">
        <f>SUM($B$9:B23)/$C$1</f>
        <v>0.25480103931296288</v>
      </c>
      <c r="E23" s="23">
        <f t="shared" si="0"/>
        <v>541200</v>
      </c>
      <c r="H23">
        <v>2026</v>
      </c>
      <c r="I23" s="1">
        <f>SUM(B65:B67)</f>
        <v>36900</v>
      </c>
    </row>
    <row r="24" spans="1:9">
      <c r="A24" s="2">
        <v>16</v>
      </c>
      <c r="B24" s="7">
        <v>12300</v>
      </c>
      <c r="C24" s="8" t="s">
        <v>65</v>
      </c>
      <c r="D24" s="9">
        <f>SUM($B$9:B24)/$C$1</f>
        <v>0.27173737932857739</v>
      </c>
      <c r="E24" s="23">
        <f t="shared" si="0"/>
        <v>528900</v>
      </c>
    </row>
    <row r="25" spans="1:9">
      <c r="A25" s="2">
        <v>17</v>
      </c>
      <c r="B25" s="4">
        <v>12300</v>
      </c>
      <c r="C25" s="12" t="s">
        <v>66</v>
      </c>
      <c r="D25" s="9">
        <f>SUM($B$9:B25)/$C$1</f>
        <v>0.28867371934419189</v>
      </c>
      <c r="E25" s="23">
        <f t="shared" si="0"/>
        <v>516600</v>
      </c>
      <c r="I25" s="1">
        <f>SUM(I9:I23)</f>
        <v>726249</v>
      </c>
    </row>
    <row r="26" spans="1:9">
      <c r="A26" s="2">
        <v>18</v>
      </c>
      <c r="B26" s="4">
        <v>12300</v>
      </c>
      <c r="C26" s="12" t="s">
        <v>24</v>
      </c>
      <c r="D26" s="9">
        <f>SUM($B$9:B26)/$C$1</f>
        <v>0.30561005935980634</v>
      </c>
      <c r="E26" s="23">
        <f t="shared" si="0"/>
        <v>504300</v>
      </c>
    </row>
    <row r="27" spans="1:9">
      <c r="A27" s="2">
        <v>19</v>
      </c>
      <c r="B27" s="4">
        <v>12300</v>
      </c>
      <c r="C27" s="12" t="s">
        <v>25</v>
      </c>
      <c r="D27" s="9">
        <f>SUM($B$9:B27)/$C$1</f>
        <v>0.32254639937542084</v>
      </c>
      <c r="E27" s="23">
        <f t="shared" si="0"/>
        <v>492000</v>
      </c>
    </row>
    <row r="28" spans="1:9">
      <c r="A28" s="2">
        <v>20</v>
      </c>
      <c r="B28" s="4">
        <v>12300</v>
      </c>
      <c r="C28" s="12" t="s">
        <v>26</v>
      </c>
      <c r="D28" s="9">
        <f>SUM($B$9:B28)/$C$1</f>
        <v>0.33948273939103529</v>
      </c>
      <c r="E28" s="23">
        <f t="shared" si="0"/>
        <v>479700</v>
      </c>
    </row>
    <row r="29" spans="1:9">
      <c r="A29" s="2">
        <v>21</v>
      </c>
      <c r="B29" s="7">
        <v>12300</v>
      </c>
      <c r="C29" s="8" t="s">
        <v>27</v>
      </c>
      <c r="D29" s="9">
        <f>SUM($B$9:B29)/$C$1</f>
        <v>0.3564190794066498</v>
      </c>
      <c r="E29" s="23">
        <f t="shared" si="0"/>
        <v>467400</v>
      </c>
    </row>
    <row r="30" spans="1:9">
      <c r="A30" s="2">
        <v>22</v>
      </c>
      <c r="B30" s="7">
        <v>12300</v>
      </c>
      <c r="C30" s="8" t="s">
        <v>28</v>
      </c>
      <c r="D30" s="9">
        <f>SUM($B$9:B30)/$C$1</f>
        <v>0.37335541942226425</v>
      </c>
      <c r="E30" s="23">
        <f t="shared" si="0"/>
        <v>455100</v>
      </c>
    </row>
    <row r="31" spans="1:9">
      <c r="A31" s="2">
        <v>23</v>
      </c>
      <c r="B31" s="7">
        <v>12300</v>
      </c>
      <c r="C31" s="8" t="s">
        <v>29</v>
      </c>
      <c r="D31" s="9">
        <f>SUM($B$9:B31)/$C$1</f>
        <v>0.39029175943787875</v>
      </c>
      <c r="E31" s="23">
        <f t="shared" si="0"/>
        <v>442800</v>
      </c>
    </row>
    <row r="32" spans="1:9">
      <c r="A32" s="2">
        <v>24</v>
      </c>
      <c r="B32" s="7">
        <v>12300</v>
      </c>
      <c r="C32" s="8" t="s">
        <v>30</v>
      </c>
      <c r="D32" s="9">
        <f>SUM($B$9:B32)/$C$1</f>
        <v>0.4072280994534932</v>
      </c>
      <c r="E32" s="23">
        <f t="shared" si="0"/>
        <v>430500</v>
      </c>
    </row>
    <row r="33" spans="1:5">
      <c r="A33" s="2">
        <v>25</v>
      </c>
      <c r="B33" s="4">
        <v>12300</v>
      </c>
      <c r="C33" s="12" t="s">
        <v>31</v>
      </c>
      <c r="D33" s="9">
        <f>SUM($B$9:B33)/$C$1</f>
        <v>0.4241644394691077</v>
      </c>
      <c r="E33" s="23">
        <f t="shared" si="0"/>
        <v>418200</v>
      </c>
    </row>
    <row r="34" spans="1:5">
      <c r="A34" s="2">
        <v>26</v>
      </c>
      <c r="B34" s="4">
        <v>12300</v>
      </c>
      <c r="C34" s="12" t="s">
        <v>32</v>
      </c>
      <c r="D34" s="9">
        <f>SUM($B$9:B34)/$C$1</f>
        <v>0.44110077948472221</v>
      </c>
      <c r="E34" s="23">
        <f t="shared" si="0"/>
        <v>405900</v>
      </c>
    </row>
    <row r="35" spans="1:5">
      <c r="A35" s="2">
        <v>27</v>
      </c>
      <c r="B35" s="4">
        <v>12300</v>
      </c>
      <c r="C35" s="12" t="s">
        <v>33</v>
      </c>
      <c r="D35" s="9">
        <f>SUM($B$9:B35)/$C$1</f>
        <v>0.45803711950033665</v>
      </c>
      <c r="E35" s="23">
        <f t="shared" si="0"/>
        <v>393600</v>
      </c>
    </row>
    <row r="36" spans="1:5">
      <c r="A36" s="2">
        <v>28</v>
      </c>
      <c r="B36" s="4">
        <v>12300</v>
      </c>
      <c r="C36" s="12" t="s">
        <v>34</v>
      </c>
      <c r="D36" s="9">
        <f>SUM($B$9:B36)/$C$1</f>
        <v>0.47497345951595116</v>
      </c>
      <c r="E36" s="23">
        <f t="shared" si="0"/>
        <v>381300</v>
      </c>
    </row>
    <row r="37" spans="1:5">
      <c r="A37" s="2">
        <v>29</v>
      </c>
      <c r="B37" s="7">
        <v>12300</v>
      </c>
      <c r="C37" s="8" t="s">
        <v>35</v>
      </c>
      <c r="D37" s="9">
        <f>SUM($B$9:B37)/$C$1</f>
        <v>0.49190979953156561</v>
      </c>
      <c r="E37" s="23">
        <f t="shared" si="0"/>
        <v>369000</v>
      </c>
    </row>
    <row r="38" spans="1:5">
      <c r="A38" s="2">
        <v>30</v>
      </c>
      <c r="B38" s="7">
        <v>12300</v>
      </c>
      <c r="C38" s="8" t="s">
        <v>36</v>
      </c>
      <c r="D38" s="9">
        <f>SUM($B$9:B38)/$C$1</f>
        <v>0.50884613954718005</v>
      </c>
      <c r="E38" s="23">
        <f t="shared" si="0"/>
        <v>356700</v>
      </c>
    </row>
    <row r="39" spans="1:5">
      <c r="A39" s="2">
        <v>31</v>
      </c>
      <c r="B39" s="7">
        <v>12300</v>
      </c>
      <c r="C39" s="8" t="s">
        <v>37</v>
      </c>
      <c r="D39" s="9">
        <f>SUM($B$9:B39)/$C$1</f>
        <v>0.52578247956279456</v>
      </c>
      <c r="E39" s="1">
        <f t="shared" si="0"/>
        <v>344400</v>
      </c>
    </row>
    <row r="40" spans="1:5">
      <c r="A40" s="2">
        <v>32</v>
      </c>
      <c r="B40" s="7">
        <v>12300</v>
      </c>
      <c r="C40" s="8" t="s">
        <v>38</v>
      </c>
      <c r="D40" s="9">
        <f>SUM($B$9:B40)/$C$1</f>
        <v>0.54271881957840906</v>
      </c>
      <c r="E40" s="1">
        <f t="shared" si="0"/>
        <v>332100</v>
      </c>
    </row>
    <row r="41" spans="1:5">
      <c r="A41" s="2">
        <v>33</v>
      </c>
      <c r="B41" s="4">
        <v>12300</v>
      </c>
      <c r="C41" s="12" t="s">
        <v>39</v>
      </c>
      <c r="D41" s="9">
        <f>SUM($B$9:B41)/$C$1</f>
        <v>0.55965515959402357</v>
      </c>
      <c r="E41" s="1">
        <f t="shared" si="0"/>
        <v>319800</v>
      </c>
    </row>
    <row r="42" spans="1:5">
      <c r="A42" s="2">
        <v>34</v>
      </c>
      <c r="B42" s="4">
        <v>12300</v>
      </c>
      <c r="C42" s="12" t="s">
        <v>67</v>
      </c>
      <c r="D42" s="9">
        <f>SUM($B$9:B42)/$C$1</f>
        <v>0.57659149960963807</v>
      </c>
      <c r="E42" s="1">
        <f t="shared" si="0"/>
        <v>307500</v>
      </c>
    </row>
    <row r="43" spans="1:5">
      <c r="A43" s="2">
        <v>35</v>
      </c>
      <c r="B43" s="4">
        <v>12300</v>
      </c>
      <c r="C43" s="12" t="s">
        <v>68</v>
      </c>
      <c r="D43" s="9">
        <f>SUM($B$9:B43)/$C$1</f>
        <v>0.59352783962525246</v>
      </c>
      <c r="E43" s="1">
        <f t="shared" si="0"/>
        <v>295200</v>
      </c>
    </row>
    <row r="44" spans="1:5">
      <c r="A44" s="2">
        <v>36</v>
      </c>
      <c r="B44" s="4">
        <v>12300</v>
      </c>
      <c r="C44" s="12" t="s">
        <v>69</v>
      </c>
      <c r="D44" s="9">
        <f>SUM($B$9:B44)/$C$1</f>
        <v>0.61046417964086697</v>
      </c>
      <c r="E44" s="1">
        <f t="shared" si="0"/>
        <v>282900</v>
      </c>
    </row>
    <row r="45" spans="1:5">
      <c r="A45" s="2">
        <v>37</v>
      </c>
      <c r="B45" s="7">
        <v>12300</v>
      </c>
      <c r="C45" s="8" t="s">
        <v>70</v>
      </c>
      <c r="D45" s="9">
        <f>SUM($B$9:B45)/$C$1</f>
        <v>0.62740051965648147</v>
      </c>
      <c r="E45" s="1">
        <f t="shared" si="0"/>
        <v>270600</v>
      </c>
    </row>
    <row r="46" spans="1:5">
      <c r="A46" s="2">
        <v>38</v>
      </c>
      <c r="B46" s="7">
        <v>12300</v>
      </c>
      <c r="C46" s="8" t="s">
        <v>71</v>
      </c>
      <c r="D46" s="9">
        <f>SUM($B$9:B46)/$C$1</f>
        <v>0.64433685967209597</v>
      </c>
      <c r="E46" s="1">
        <f t="shared" si="0"/>
        <v>258300</v>
      </c>
    </row>
    <row r="47" spans="1:5">
      <c r="A47" s="2">
        <v>39</v>
      </c>
      <c r="B47" s="7">
        <v>12300</v>
      </c>
      <c r="C47" s="8" t="s">
        <v>42</v>
      </c>
      <c r="D47" s="9">
        <f>SUM($B$9:B47)/$C$1</f>
        <v>0.66127319968771037</v>
      </c>
      <c r="E47" s="1">
        <f t="shared" si="0"/>
        <v>246000</v>
      </c>
    </row>
    <row r="48" spans="1:5">
      <c r="A48" s="2">
        <v>40</v>
      </c>
      <c r="B48" s="7">
        <v>12300</v>
      </c>
      <c r="C48" s="8" t="s">
        <v>43</v>
      </c>
      <c r="D48" s="9">
        <f>SUM($B$9:B48)/$C$1</f>
        <v>0.67820953970332487</v>
      </c>
      <c r="E48" s="1">
        <f t="shared" si="0"/>
        <v>233700</v>
      </c>
    </row>
    <row r="49" spans="1:5">
      <c r="A49" s="2">
        <v>41</v>
      </c>
      <c r="B49" s="4">
        <v>12300</v>
      </c>
      <c r="C49" s="12" t="s">
        <v>72</v>
      </c>
      <c r="D49" s="9">
        <f>SUM($B$9:B49)/$C$1</f>
        <v>0.69514587971893937</v>
      </c>
      <c r="E49" s="1">
        <f t="shared" si="0"/>
        <v>221400</v>
      </c>
    </row>
    <row r="50" spans="1:5">
      <c r="A50" s="2">
        <v>42</v>
      </c>
      <c r="B50" s="4">
        <v>12300</v>
      </c>
      <c r="C50" s="12" t="s">
        <v>45</v>
      </c>
      <c r="D50" s="9">
        <f>SUM($B$9:B50)/$C$1</f>
        <v>0.71208221973455388</v>
      </c>
      <c r="E50" s="1">
        <f t="shared" si="0"/>
        <v>209100</v>
      </c>
    </row>
    <row r="51" spans="1:5">
      <c r="A51" s="2">
        <v>43</v>
      </c>
      <c r="B51" s="4">
        <v>12300</v>
      </c>
      <c r="C51" s="12" t="s">
        <v>46</v>
      </c>
      <c r="D51" s="9">
        <f>SUM($B$9:B51)/$C$1</f>
        <v>0.72901855975016838</v>
      </c>
      <c r="E51" s="1">
        <f t="shared" si="0"/>
        <v>196800</v>
      </c>
    </row>
    <row r="52" spans="1:5">
      <c r="A52" s="2">
        <v>44</v>
      </c>
      <c r="B52" s="4">
        <v>12300</v>
      </c>
      <c r="C52" s="12" t="s">
        <v>47</v>
      </c>
      <c r="D52" s="9">
        <f>SUM($B$9:B52)/$C$1</f>
        <v>0.74595489976578278</v>
      </c>
      <c r="E52" s="1">
        <f t="shared" si="0"/>
        <v>184500</v>
      </c>
    </row>
    <row r="53" spans="1:5">
      <c r="A53" s="2">
        <v>45</v>
      </c>
      <c r="B53" s="7">
        <v>12300</v>
      </c>
      <c r="C53" s="8" t="s">
        <v>48</v>
      </c>
      <c r="D53" s="9">
        <f>SUM($B$9:B53)/$C$1</f>
        <v>0.76289123978139728</v>
      </c>
      <c r="E53" s="1">
        <f t="shared" si="0"/>
        <v>172200</v>
      </c>
    </row>
    <row r="54" spans="1:5">
      <c r="A54" s="2">
        <v>46</v>
      </c>
      <c r="B54" s="7">
        <v>12300</v>
      </c>
      <c r="C54" s="8" t="s">
        <v>49</v>
      </c>
      <c r="D54" s="9">
        <f>SUM($B$9:B54)/$C$1</f>
        <v>0.77982757979701178</v>
      </c>
      <c r="E54" s="1">
        <f t="shared" si="0"/>
        <v>159900</v>
      </c>
    </row>
    <row r="55" spans="1:5">
      <c r="A55" s="2">
        <v>47</v>
      </c>
      <c r="B55" s="7">
        <v>12300</v>
      </c>
      <c r="C55" s="8" t="s">
        <v>50</v>
      </c>
      <c r="D55" s="9">
        <f>SUM($B$9:B55)/$C$1</f>
        <v>0.79676391981262629</v>
      </c>
      <c r="E55" s="1">
        <f t="shared" si="0"/>
        <v>147600</v>
      </c>
    </row>
    <row r="56" spans="1:5">
      <c r="A56" s="2">
        <v>48</v>
      </c>
      <c r="B56" s="7">
        <v>12300</v>
      </c>
      <c r="C56" s="8" t="s">
        <v>51</v>
      </c>
      <c r="D56" s="9">
        <f>SUM($B$9:B56)/$C$1</f>
        <v>0.81370025982824068</v>
      </c>
      <c r="E56" s="1">
        <f t="shared" si="0"/>
        <v>135300</v>
      </c>
    </row>
    <row r="57" spans="1:5">
      <c r="A57" s="2">
        <v>49</v>
      </c>
      <c r="B57" s="4">
        <v>12300</v>
      </c>
      <c r="C57" s="12" t="s">
        <v>52</v>
      </c>
      <c r="D57" s="9">
        <f>SUM($B$9:B57)/$C$1</f>
        <v>0.83063659984385518</v>
      </c>
      <c r="E57" s="1">
        <f t="shared" si="0"/>
        <v>123000</v>
      </c>
    </row>
    <row r="58" spans="1:5">
      <c r="A58" s="2">
        <v>50</v>
      </c>
      <c r="B58" s="4">
        <v>12300</v>
      </c>
      <c r="C58" s="12" t="s">
        <v>53</v>
      </c>
      <c r="D58" s="9">
        <f>SUM($B$9:B58)/$C$1</f>
        <v>0.84757293985946969</v>
      </c>
      <c r="E58" s="1">
        <f t="shared" si="0"/>
        <v>110700</v>
      </c>
    </row>
    <row r="59" spans="1:5">
      <c r="A59" s="2">
        <v>51</v>
      </c>
      <c r="B59" s="4">
        <v>12300</v>
      </c>
      <c r="C59" s="12" t="s">
        <v>54</v>
      </c>
      <c r="D59" s="9">
        <f>SUM($B$9:B59)/$C$1</f>
        <v>0.86450927987508419</v>
      </c>
      <c r="E59" s="1">
        <f t="shared" si="0"/>
        <v>98400</v>
      </c>
    </row>
    <row r="60" spans="1:5">
      <c r="A60" s="2">
        <v>52</v>
      </c>
      <c r="B60" s="4">
        <v>12300</v>
      </c>
      <c r="C60" s="12" t="s">
        <v>55</v>
      </c>
      <c r="D60" s="9">
        <f>SUM($B$9:B60)/$C$1</f>
        <v>0.8814456198906987</v>
      </c>
      <c r="E60" s="1">
        <f t="shared" si="0"/>
        <v>86100</v>
      </c>
    </row>
    <row r="61" spans="1:5">
      <c r="A61" s="2">
        <v>53</v>
      </c>
      <c r="B61" s="7">
        <v>12300</v>
      </c>
      <c r="C61" s="8" t="s">
        <v>56</v>
      </c>
      <c r="D61" s="9">
        <f>SUM($B$9:B61)/$C$1</f>
        <v>0.89838195990631309</v>
      </c>
      <c r="E61" s="1">
        <f t="shared" si="0"/>
        <v>73800</v>
      </c>
    </row>
    <row r="62" spans="1:5">
      <c r="A62" s="2">
        <v>54</v>
      </c>
      <c r="B62" s="7">
        <v>12300</v>
      </c>
      <c r="C62" s="8" t="s">
        <v>57</v>
      </c>
      <c r="D62" s="9">
        <f>SUM($B$9:B62)/$C$1</f>
        <v>0.91531829992192759</v>
      </c>
      <c r="E62" s="1">
        <f t="shared" si="0"/>
        <v>61500</v>
      </c>
    </row>
    <row r="63" spans="1:5">
      <c r="A63" s="2">
        <v>55</v>
      </c>
      <c r="B63" s="7">
        <v>12300</v>
      </c>
      <c r="C63" s="8" t="s">
        <v>73</v>
      </c>
      <c r="D63" s="9">
        <f>SUM($B$9:B63)/$C$1</f>
        <v>0.9322546399375421</v>
      </c>
      <c r="E63" s="1">
        <f t="shared" si="0"/>
        <v>49200</v>
      </c>
    </row>
    <row r="64" spans="1:5">
      <c r="A64" s="2">
        <v>56</v>
      </c>
      <c r="B64" s="7">
        <v>12300</v>
      </c>
      <c r="C64" s="8" t="s">
        <v>74</v>
      </c>
      <c r="D64" s="9">
        <f>SUM($B$9:B64)/$C$1</f>
        <v>0.9491909799531566</v>
      </c>
      <c r="E64" s="1">
        <f t="shared" si="0"/>
        <v>36900</v>
      </c>
    </row>
    <row r="65" spans="1:5">
      <c r="A65" s="2">
        <v>57</v>
      </c>
      <c r="B65" s="4">
        <v>12300</v>
      </c>
      <c r="C65" s="12" t="s">
        <v>59</v>
      </c>
      <c r="D65" s="9">
        <f>SUM($B$9:B65)/$C$1</f>
        <v>0.96612731996877099</v>
      </c>
      <c r="E65" s="1">
        <f t="shared" si="0"/>
        <v>24600</v>
      </c>
    </row>
    <row r="66" spans="1:5">
      <c r="A66" s="2">
        <v>58</v>
      </c>
      <c r="B66" s="4">
        <v>12300</v>
      </c>
      <c r="C66" s="12" t="s">
        <v>75</v>
      </c>
      <c r="D66" s="9">
        <f>SUM($B$9:B66)/$C$1</f>
        <v>0.9830636599843855</v>
      </c>
      <c r="E66" s="1">
        <f t="shared" si="0"/>
        <v>12300</v>
      </c>
    </row>
    <row r="67" spans="1:5">
      <c r="A67" s="2">
        <v>59</v>
      </c>
      <c r="B67" s="4">
        <v>12300</v>
      </c>
      <c r="C67" s="12" t="s">
        <v>76</v>
      </c>
      <c r="D67" s="9">
        <f>SUM($B$9:B67)/$C$1</f>
        <v>1</v>
      </c>
      <c r="E67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opLeftCell="A6" workbookViewId="0">
      <selection activeCell="B18" sqref="B18:B21"/>
    </sheetView>
  </sheetViews>
  <sheetFormatPr defaultRowHeight="15"/>
  <cols>
    <col min="2" max="2" width="12" customWidth="1"/>
    <col min="3" max="3" width="13.5703125" customWidth="1"/>
    <col min="5" max="5" width="16.5703125" customWidth="1"/>
    <col min="11" max="11" width="13.42578125" bestFit="1" customWidth="1"/>
  </cols>
  <sheetData>
    <row r="1" spans="1:11">
      <c r="A1" t="s">
        <v>0</v>
      </c>
      <c r="C1" s="1">
        <v>122380</v>
      </c>
    </row>
    <row r="2" spans="1:11">
      <c r="A2" t="s">
        <v>1</v>
      </c>
      <c r="C2">
        <v>2017</v>
      </c>
    </row>
    <row r="3" spans="1:11">
      <c r="A3" t="s">
        <v>2</v>
      </c>
      <c r="C3" t="s">
        <v>3</v>
      </c>
    </row>
    <row r="4" spans="1:11">
      <c r="A4" t="s">
        <v>4</v>
      </c>
      <c r="C4" t="s">
        <v>156</v>
      </c>
    </row>
    <row r="5" spans="1:11">
      <c r="A5" t="s">
        <v>6</v>
      </c>
      <c r="C5" t="s">
        <v>7</v>
      </c>
    </row>
    <row r="6" spans="1:11">
      <c r="A6" t="s">
        <v>8</v>
      </c>
      <c r="C6" t="s">
        <v>157</v>
      </c>
    </row>
    <row r="8" spans="1:11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1">
      <c r="A9" s="2">
        <v>1</v>
      </c>
      <c r="B9" s="4">
        <v>380</v>
      </c>
      <c r="C9" s="12" t="s">
        <v>34</v>
      </c>
      <c r="D9" s="9">
        <f>SUM($B$9:B9)/$C$1</f>
        <v>3.1050825298251346E-3</v>
      </c>
      <c r="E9" s="23">
        <f>C1-B9</f>
        <v>122000</v>
      </c>
      <c r="J9">
        <v>2018</v>
      </c>
      <c r="K9" s="1">
        <f>SUM(B9)</f>
        <v>380</v>
      </c>
    </row>
    <row r="10" spans="1:11">
      <c r="A10" s="2">
        <v>2</v>
      </c>
      <c r="B10" s="7">
        <v>2500</v>
      </c>
      <c r="C10" s="8" t="s">
        <v>35</v>
      </c>
      <c r="D10" s="9">
        <f>SUM($B$9:B10)/$C$1</f>
        <v>2.3533257068148392E-2</v>
      </c>
      <c r="E10" s="23">
        <f>E9-B10</f>
        <v>119500</v>
      </c>
      <c r="J10">
        <v>2019</v>
      </c>
      <c r="K10" s="1">
        <f>SUM(B10:B13)</f>
        <v>10000</v>
      </c>
    </row>
    <row r="11" spans="1:11">
      <c r="A11" s="2">
        <v>3</v>
      </c>
      <c r="B11" s="7">
        <v>2500</v>
      </c>
      <c r="C11" s="2" t="s">
        <v>36</v>
      </c>
      <c r="D11" s="9">
        <f>SUM($B$9:B11)/$C$1</f>
        <v>4.3961431606471646E-2</v>
      </c>
      <c r="E11" s="23">
        <f t="shared" ref="E11:E38" si="0">E10-B11</f>
        <v>117000</v>
      </c>
      <c r="J11">
        <v>2020</v>
      </c>
      <c r="K11" s="1">
        <f>SUM(B14:B17)</f>
        <v>18160</v>
      </c>
    </row>
    <row r="12" spans="1:11">
      <c r="A12" s="2">
        <v>4</v>
      </c>
      <c r="B12" s="7">
        <v>2500</v>
      </c>
      <c r="C12" s="2" t="s">
        <v>37</v>
      </c>
      <c r="D12" s="9">
        <f>SUM($B$9:B12)/$C$1</f>
        <v>6.43896061447949E-2</v>
      </c>
      <c r="E12" s="1">
        <f t="shared" si="0"/>
        <v>114500</v>
      </c>
      <c r="J12">
        <v>2021</v>
      </c>
      <c r="K12" s="1">
        <f>SUM(B18:B21)</f>
        <v>18160</v>
      </c>
    </row>
    <row r="13" spans="1:11">
      <c r="A13" s="2">
        <v>5</v>
      </c>
      <c r="B13" s="7">
        <v>2500</v>
      </c>
      <c r="C13" s="2" t="s">
        <v>38</v>
      </c>
      <c r="D13" s="9">
        <f>SUM($B$9:B13)/$C$1</f>
        <v>8.4817780683118155E-2</v>
      </c>
      <c r="E13" s="1">
        <f t="shared" si="0"/>
        <v>112000</v>
      </c>
      <c r="J13">
        <v>2022</v>
      </c>
      <c r="K13" s="1">
        <f>SUM(B22:B25)</f>
        <v>18160</v>
      </c>
    </row>
    <row r="14" spans="1:11">
      <c r="A14" s="2">
        <v>6</v>
      </c>
      <c r="B14" s="4">
        <v>4540</v>
      </c>
      <c r="C14" s="12" t="s">
        <v>39</v>
      </c>
      <c r="D14" s="9">
        <f>SUM($B$9:B14)/$C$1</f>
        <v>0.12191534564471319</v>
      </c>
      <c r="E14" s="1">
        <f t="shared" si="0"/>
        <v>107460</v>
      </c>
      <c r="J14">
        <v>2023</v>
      </c>
      <c r="K14" s="1">
        <f>SUM(B26:B29)</f>
        <v>18160</v>
      </c>
    </row>
    <row r="15" spans="1:11">
      <c r="A15" s="2">
        <v>7</v>
      </c>
      <c r="B15" s="4">
        <v>4540</v>
      </c>
      <c r="C15" s="13" t="s">
        <v>67</v>
      </c>
      <c r="D15" s="9">
        <f>SUM($B$9:B15)/$C$1</f>
        <v>0.15901291060630823</v>
      </c>
      <c r="E15" s="1">
        <f t="shared" si="0"/>
        <v>102920</v>
      </c>
      <c r="J15">
        <v>2024</v>
      </c>
      <c r="K15" s="1">
        <f>SUM(B30:B33)</f>
        <v>18160</v>
      </c>
    </row>
    <row r="16" spans="1:11">
      <c r="A16" s="2">
        <v>8</v>
      </c>
      <c r="B16" s="4">
        <v>4540</v>
      </c>
      <c r="C16" s="13" t="s">
        <v>68</v>
      </c>
      <c r="D16" s="9">
        <f>SUM($B$9:B16)/$C$1</f>
        <v>0.19611047556790326</v>
      </c>
      <c r="E16" s="1">
        <f t="shared" si="0"/>
        <v>98380</v>
      </c>
      <c r="J16">
        <v>2025</v>
      </c>
      <c r="K16" s="1">
        <f>SUM(B34:B37)</f>
        <v>18160</v>
      </c>
    </row>
    <row r="17" spans="1:11">
      <c r="A17" s="2">
        <v>9</v>
      </c>
      <c r="B17" s="4">
        <v>4540</v>
      </c>
      <c r="C17" s="13" t="s">
        <v>69</v>
      </c>
      <c r="D17" s="9">
        <f>SUM($B$9:B17)/$C$1</f>
        <v>0.23320804052949828</v>
      </c>
      <c r="E17" s="1">
        <f t="shared" si="0"/>
        <v>93840</v>
      </c>
      <c r="J17">
        <v>2026</v>
      </c>
      <c r="K17" s="1">
        <f>SUM(B38)</f>
        <v>3040</v>
      </c>
    </row>
    <row r="18" spans="1:11">
      <c r="A18" s="2">
        <v>10</v>
      </c>
      <c r="B18" s="7">
        <v>4540</v>
      </c>
      <c r="C18" s="8" t="s">
        <v>70</v>
      </c>
      <c r="D18" s="9">
        <f>SUM($B$9:B18)/$C$1</f>
        <v>0.27030560549109334</v>
      </c>
      <c r="E18" s="1">
        <f t="shared" si="0"/>
        <v>89300</v>
      </c>
    </row>
    <row r="19" spans="1:11">
      <c r="A19" s="2">
        <v>11</v>
      </c>
      <c r="B19" s="7">
        <v>4540</v>
      </c>
      <c r="C19" s="2" t="s">
        <v>71</v>
      </c>
      <c r="D19" s="9">
        <f>SUM($B$9:B19)/$C$1</f>
        <v>0.30740317045268833</v>
      </c>
      <c r="E19" s="1">
        <f t="shared" si="0"/>
        <v>84760</v>
      </c>
      <c r="K19" s="1">
        <f>SUM(K9:K17)</f>
        <v>122380</v>
      </c>
    </row>
    <row r="20" spans="1:11">
      <c r="A20" s="2">
        <v>12</v>
      </c>
      <c r="B20" s="7">
        <v>4540</v>
      </c>
      <c r="C20" s="2" t="s">
        <v>42</v>
      </c>
      <c r="D20" s="9">
        <f>SUM($B$9:B20)/$C$1</f>
        <v>0.34450073541428339</v>
      </c>
      <c r="E20" s="1">
        <f t="shared" si="0"/>
        <v>80220</v>
      </c>
    </row>
    <row r="21" spans="1:11">
      <c r="A21" s="2">
        <v>13</v>
      </c>
      <c r="B21" s="7">
        <v>4540</v>
      </c>
      <c r="C21" s="2" t="s">
        <v>43</v>
      </c>
      <c r="D21" s="9">
        <f>SUM($B$9:B21)/$C$1</f>
        <v>0.38159830037587839</v>
      </c>
      <c r="E21" s="1">
        <f t="shared" si="0"/>
        <v>75680</v>
      </c>
    </row>
    <row r="22" spans="1:11">
      <c r="A22" s="2">
        <v>14</v>
      </c>
      <c r="B22" s="4">
        <v>4540</v>
      </c>
      <c r="C22" s="12" t="s">
        <v>72</v>
      </c>
      <c r="D22" s="9">
        <f>SUM($B$9:B22)/$C$1</f>
        <v>0.41869586533747344</v>
      </c>
      <c r="E22" s="1">
        <f t="shared" si="0"/>
        <v>71140</v>
      </c>
    </row>
    <row r="23" spans="1:11">
      <c r="A23" s="2">
        <v>15</v>
      </c>
      <c r="B23" s="4">
        <v>4540</v>
      </c>
      <c r="C23" s="13" t="s">
        <v>45</v>
      </c>
      <c r="D23" s="9">
        <f>SUM($B$9:B23)/$C$1</f>
        <v>0.45579343029906849</v>
      </c>
      <c r="E23" s="1">
        <f t="shared" si="0"/>
        <v>66600</v>
      </c>
    </row>
    <row r="24" spans="1:11">
      <c r="A24" s="2">
        <v>16</v>
      </c>
      <c r="B24" s="4">
        <v>4540</v>
      </c>
      <c r="C24" s="13" t="s">
        <v>46</v>
      </c>
      <c r="D24" s="9">
        <f>SUM($B$9:B24)/$C$1</f>
        <v>0.49289099526066349</v>
      </c>
      <c r="E24" s="1">
        <f t="shared" si="0"/>
        <v>62060</v>
      </c>
    </row>
    <row r="25" spans="1:11">
      <c r="A25" s="2">
        <v>17</v>
      </c>
      <c r="B25" s="4">
        <v>4540</v>
      </c>
      <c r="C25" s="13" t="s">
        <v>47</v>
      </c>
      <c r="D25" s="9">
        <f>SUM($B$9:B25)/$C$1</f>
        <v>0.52998856022225849</v>
      </c>
      <c r="E25" s="1">
        <f t="shared" si="0"/>
        <v>57520</v>
      </c>
    </row>
    <row r="26" spans="1:11">
      <c r="A26" s="2">
        <v>18</v>
      </c>
      <c r="B26" s="7">
        <v>4540</v>
      </c>
      <c r="C26" s="8" t="s">
        <v>48</v>
      </c>
      <c r="D26" s="9">
        <f>SUM($B$9:B26)/$C$1</f>
        <v>0.5670861251838536</v>
      </c>
      <c r="E26" s="1">
        <f t="shared" si="0"/>
        <v>52980</v>
      </c>
    </row>
    <row r="27" spans="1:11">
      <c r="A27" s="2">
        <v>19</v>
      </c>
      <c r="B27" s="7">
        <v>4540</v>
      </c>
      <c r="C27" s="2" t="s">
        <v>49</v>
      </c>
      <c r="D27" s="9">
        <f>SUM($B$9:B27)/$C$1</f>
        <v>0.60418369014544859</v>
      </c>
      <c r="E27" s="1">
        <f t="shared" si="0"/>
        <v>48440</v>
      </c>
    </row>
    <row r="28" spans="1:11">
      <c r="A28" s="2">
        <v>20</v>
      </c>
      <c r="B28" s="7">
        <v>4540</v>
      </c>
      <c r="C28" s="2" t="s">
        <v>50</v>
      </c>
      <c r="D28" s="9">
        <f>SUM($B$9:B28)/$C$1</f>
        <v>0.64128125510704359</v>
      </c>
      <c r="E28" s="1">
        <f t="shared" si="0"/>
        <v>43900</v>
      </c>
    </row>
    <row r="29" spans="1:11">
      <c r="A29" s="2">
        <v>21</v>
      </c>
      <c r="B29" s="7">
        <v>4540</v>
      </c>
      <c r="C29" s="2" t="s">
        <v>51</v>
      </c>
      <c r="D29" s="9">
        <f>SUM($B$9:B29)/$C$1</f>
        <v>0.6783788200686387</v>
      </c>
      <c r="E29" s="1">
        <f t="shared" si="0"/>
        <v>39360</v>
      </c>
    </row>
    <row r="30" spans="1:11">
      <c r="A30" s="2">
        <v>22</v>
      </c>
      <c r="B30" s="4">
        <v>4540</v>
      </c>
      <c r="C30" s="12" t="s">
        <v>52</v>
      </c>
      <c r="D30" s="9">
        <f>SUM($B$9:B30)/$C$1</f>
        <v>0.7154763850302337</v>
      </c>
      <c r="E30" s="1">
        <f t="shared" si="0"/>
        <v>34820</v>
      </c>
    </row>
    <row r="31" spans="1:11">
      <c r="A31" s="2">
        <v>23</v>
      </c>
      <c r="B31" s="4">
        <v>4540</v>
      </c>
      <c r="C31" s="13" t="s">
        <v>53</v>
      </c>
      <c r="D31" s="9">
        <f>SUM($B$9:B31)/$C$1</f>
        <v>0.75257394999182869</v>
      </c>
      <c r="E31" s="1">
        <f t="shared" si="0"/>
        <v>30280</v>
      </c>
    </row>
    <row r="32" spans="1:11">
      <c r="A32" s="2">
        <v>24</v>
      </c>
      <c r="B32" s="4">
        <v>4540</v>
      </c>
      <c r="C32" s="13" t="s">
        <v>54</v>
      </c>
      <c r="D32" s="9">
        <f>SUM($B$9:B32)/$C$1</f>
        <v>0.7896715149534238</v>
      </c>
      <c r="E32" s="1">
        <f t="shared" si="0"/>
        <v>25740</v>
      </c>
    </row>
    <row r="33" spans="1:5">
      <c r="A33" s="2">
        <v>25</v>
      </c>
      <c r="B33" s="4">
        <v>4540</v>
      </c>
      <c r="C33" s="13" t="s">
        <v>55</v>
      </c>
      <c r="D33" s="9">
        <f>SUM($B$9:B33)/$C$1</f>
        <v>0.8267690799150188</v>
      </c>
      <c r="E33" s="1">
        <f t="shared" si="0"/>
        <v>21200</v>
      </c>
    </row>
    <row r="34" spans="1:5">
      <c r="A34" s="2">
        <v>26</v>
      </c>
      <c r="B34" s="7">
        <v>4540</v>
      </c>
      <c r="C34" s="8" t="s">
        <v>56</v>
      </c>
      <c r="D34" s="9">
        <f>SUM($B$9:B34)/$C$1</f>
        <v>0.8638666448766138</v>
      </c>
      <c r="E34" s="1">
        <f t="shared" si="0"/>
        <v>16660</v>
      </c>
    </row>
    <row r="35" spans="1:5">
      <c r="A35" s="2">
        <v>27</v>
      </c>
      <c r="B35" s="7">
        <v>4540</v>
      </c>
      <c r="C35" s="2" t="s">
        <v>57</v>
      </c>
      <c r="D35" s="9">
        <f>SUM($B$9:B35)/$C$1</f>
        <v>0.90096420983820891</v>
      </c>
      <c r="E35" s="1">
        <f t="shared" si="0"/>
        <v>12120</v>
      </c>
    </row>
    <row r="36" spans="1:5">
      <c r="A36" s="2">
        <v>28</v>
      </c>
      <c r="B36" s="7">
        <v>4540</v>
      </c>
      <c r="C36" s="2" t="s">
        <v>73</v>
      </c>
      <c r="D36" s="9">
        <f>SUM($B$9:B36)/$C$1</f>
        <v>0.9380617747998039</v>
      </c>
      <c r="E36" s="1">
        <f t="shared" si="0"/>
        <v>7580</v>
      </c>
    </row>
    <row r="37" spans="1:5">
      <c r="A37" s="2">
        <v>29</v>
      </c>
      <c r="B37" s="7">
        <v>4540</v>
      </c>
      <c r="C37" s="2" t="s">
        <v>74</v>
      </c>
      <c r="D37" s="9">
        <f>SUM($B$9:B37)/$C$1</f>
        <v>0.9751593397613989</v>
      </c>
      <c r="E37" s="1">
        <f t="shared" si="0"/>
        <v>3040</v>
      </c>
    </row>
    <row r="38" spans="1:5">
      <c r="A38" s="2">
        <v>30</v>
      </c>
      <c r="B38" s="4">
        <v>3040</v>
      </c>
      <c r="C38" s="12" t="s">
        <v>59</v>
      </c>
      <c r="D38" s="9">
        <f>SUM($B$9:B38)/$C$1</f>
        <v>1</v>
      </c>
      <c r="E38" s="1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CC34-2AE3-4BCA-8833-D3A6734DDD24}">
  <dimension ref="A1:I20"/>
  <sheetViews>
    <sheetView workbookViewId="0">
      <selection activeCell="B13" sqref="B13:B16"/>
    </sheetView>
  </sheetViews>
  <sheetFormatPr defaultRowHeight="15"/>
  <cols>
    <col min="2" max="2" width="12.42578125" customWidth="1"/>
    <col min="3" max="3" width="14.5703125" customWidth="1"/>
    <col min="5" max="5" width="19.140625" customWidth="1"/>
    <col min="9" max="9" width="14.85546875" bestFit="1" customWidth="1"/>
  </cols>
  <sheetData>
    <row r="1" spans="1:9">
      <c r="A1" t="s">
        <v>0</v>
      </c>
      <c r="C1" s="1">
        <v>500000</v>
      </c>
    </row>
    <row r="2" spans="1:9">
      <c r="A2" t="s">
        <v>118</v>
      </c>
      <c r="C2">
        <v>2019</v>
      </c>
    </row>
    <row r="3" spans="1:9">
      <c r="A3" t="s">
        <v>80</v>
      </c>
      <c r="C3" t="s">
        <v>81</v>
      </c>
    </row>
    <row r="4" spans="1:9">
      <c r="A4" t="s">
        <v>4</v>
      </c>
      <c r="C4" t="s">
        <v>189</v>
      </c>
    </row>
    <row r="5" spans="1:9">
      <c r="A5" t="s">
        <v>6</v>
      </c>
      <c r="C5" t="s">
        <v>7</v>
      </c>
    </row>
    <row r="6" spans="1:9">
      <c r="A6" t="s">
        <v>8</v>
      </c>
      <c r="C6" t="s">
        <v>190</v>
      </c>
    </row>
    <row r="8" spans="1:9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9">
      <c r="A9" s="2">
        <v>1</v>
      </c>
      <c r="B9" s="7">
        <v>25000</v>
      </c>
      <c r="C9" s="8" t="s">
        <v>39</v>
      </c>
      <c r="D9" s="9">
        <f>SUM($B$9:B9)/$C$1</f>
        <v>0.05</v>
      </c>
      <c r="E9" s="1">
        <f>C1-B9</f>
        <v>475000</v>
      </c>
      <c r="H9">
        <v>2023</v>
      </c>
      <c r="I9" s="1" t="e">
        <f>SUM(#REF!)</f>
        <v>#REF!</v>
      </c>
    </row>
    <row r="10" spans="1:9">
      <c r="A10" s="2">
        <f>A9+1</f>
        <v>2</v>
      </c>
      <c r="B10" s="7">
        <f>B9</f>
        <v>25000</v>
      </c>
      <c r="C10" s="8" t="s">
        <v>88</v>
      </c>
      <c r="D10" s="9">
        <f>SUM($B$9:B10)/$C$1</f>
        <v>0.1</v>
      </c>
      <c r="E10" s="1">
        <f t="shared" ref="E10:E20" si="0">E9-B10</f>
        <v>450000</v>
      </c>
      <c r="H10">
        <v>2024</v>
      </c>
      <c r="I10" s="1" t="e">
        <f>SUM(#REF!)</f>
        <v>#REF!</v>
      </c>
    </row>
    <row r="11" spans="1:9">
      <c r="A11" s="2">
        <f t="shared" ref="A11:A20" si="1">A10+1</f>
        <v>3</v>
      </c>
      <c r="B11" s="7">
        <f t="shared" ref="B11:B12" si="2">B10</f>
        <v>25000</v>
      </c>
      <c r="C11" s="2" t="s">
        <v>40</v>
      </c>
      <c r="D11" s="9">
        <f>SUM($B$9:B11)/$C$1</f>
        <v>0.15</v>
      </c>
      <c r="E11" s="1">
        <f t="shared" si="0"/>
        <v>425000</v>
      </c>
    </row>
    <row r="12" spans="1:9">
      <c r="A12" s="2">
        <f t="shared" si="1"/>
        <v>4</v>
      </c>
      <c r="B12" s="7">
        <f t="shared" si="2"/>
        <v>25000</v>
      </c>
      <c r="C12" s="2" t="s">
        <v>89</v>
      </c>
      <c r="D12" s="9">
        <f>SUM($B$9:B12)/$C$1</f>
        <v>0.2</v>
      </c>
      <c r="E12" s="1">
        <f t="shared" si="0"/>
        <v>400000</v>
      </c>
      <c r="I12" s="1" t="e">
        <f>SUM(I9:I10)</f>
        <v>#REF!</v>
      </c>
    </row>
    <row r="13" spans="1:9">
      <c r="A13" s="2">
        <f t="shared" si="1"/>
        <v>5</v>
      </c>
      <c r="B13" s="4">
        <v>50000</v>
      </c>
      <c r="C13" s="12" t="s">
        <v>41</v>
      </c>
      <c r="D13" s="9">
        <f>SUM($B$9:B13)/$C$1</f>
        <v>0.3</v>
      </c>
      <c r="E13" s="1">
        <f t="shared" si="0"/>
        <v>350000</v>
      </c>
    </row>
    <row r="14" spans="1:9">
      <c r="A14" s="2">
        <f t="shared" si="1"/>
        <v>6</v>
      </c>
      <c r="B14" s="4">
        <v>50000</v>
      </c>
      <c r="C14" s="12" t="s">
        <v>90</v>
      </c>
      <c r="D14" s="9">
        <f>SUM($B$9:B14)/$C$1</f>
        <v>0.4</v>
      </c>
      <c r="E14" s="1">
        <f t="shared" si="0"/>
        <v>300000</v>
      </c>
    </row>
    <row r="15" spans="1:9">
      <c r="A15" s="2">
        <f t="shared" si="1"/>
        <v>7</v>
      </c>
      <c r="B15" s="4">
        <v>50000</v>
      </c>
      <c r="C15" s="13" t="s">
        <v>42</v>
      </c>
      <c r="D15" s="9">
        <f>SUM($B$9:B15)/$C$1</f>
        <v>0.5</v>
      </c>
      <c r="E15" s="1">
        <f t="shared" si="0"/>
        <v>250000</v>
      </c>
    </row>
    <row r="16" spans="1:9">
      <c r="A16" s="2">
        <f t="shared" si="1"/>
        <v>8</v>
      </c>
      <c r="B16" s="4">
        <v>50000</v>
      </c>
      <c r="C16" s="13" t="s">
        <v>91</v>
      </c>
      <c r="D16" s="9">
        <f>SUM($B$9:B16)/$C$1</f>
        <v>0.6</v>
      </c>
      <c r="E16" s="1">
        <f t="shared" si="0"/>
        <v>200000</v>
      </c>
    </row>
    <row r="17" spans="1:5">
      <c r="A17" s="2">
        <f t="shared" si="1"/>
        <v>9</v>
      </c>
      <c r="B17" s="7">
        <v>50000</v>
      </c>
      <c r="C17" s="8" t="s">
        <v>44</v>
      </c>
      <c r="D17" s="9">
        <f>SUM($B$9:B17)/$C$1</f>
        <v>0.7</v>
      </c>
      <c r="E17" s="1">
        <f t="shared" si="0"/>
        <v>150000</v>
      </c>
    </row>
    <row r="18" spans="1:5">
      <c r="A18" s="2">
        <f t="shared" si="1"/>
        <v>10</v>
      </c>
      <c r="B18" s="7">
        <v>50000</v>
      </c>
      <c r="C18" s="8" t="s">
        <v>92</v>
      </c>
      <c r="D18" s="9">
        <f>SUM($B$9:B18)/$C$1</f>
        <v>0.8</v>
      </c>
      <c r="E18" s="1">
        <f t="shared" si="0"/>
        <v>100000</v>
      </c>
    </row>
    <row r="19" spans="1:5">
      <c r="A19" s="2">
        <f t="shared" si="1"/>
        <v>11</v>
      </c>
      <c r="B19" s="7">
        <v>50000</v>
      </c>
      <c r="C19" s="2" t="s">
        <v>46</v>
      </c>
      <c r="D19" s="9">
        <f>SUM($B$9:B19)/$C$1</f>
        <v>0.9</v>
      </c>
      <c r="E19" s="1">
        <f t="shared" si="0"/>
        <v>50000</v>
      </c>
    </row>
    <row r="20" spans="1:5">
      <c r="A20" s="2">
        <f t="shared" si="1"/>
        <v>12</v>
      </c>
      <c r="B20" s="7">
        <v>50000</v>
      </c>
      <c r="C20" s="2" t="s">
        <v>93</v>
      </c>
      <c r="D20" s="9">
        <f>SUM($B$9:B20)/$C$1</f>
        <v>1</v>
      </c>
      <c r="E20" s="1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workbookViewId="0">
      <selection sqref="A1:G60"/>
    </sheetView>
  </sheetViews>
  <sheetFormatPr defaultRowHeight="15"/>
  <cols>
    <col min="2" max="2" width="13.42578125" bestFit="1" customWidth="1"/>
    <col min="3" max="3" width="14.5703125" style="15" customWidth="1"/>
    <col min="4" max="4" width="10.42578125" customWidth="1"/>
    <col min="5" max="5" width="15.42578125" customWidth="1"/>
    <col min="11" max="11" width="14.85546875" bestFit="1" customWidth="1"/>
  </cols>
  <sheetData>
    <row r="1" spans="1:11">
      <c r="A1" t="s">
        <v>0</v>
      </c>
      <c r="C1" s="16">
        <v>3890000</v>
      </c>
    </row>
    <row r="2" spans="1:11">
      <c r="A2" t="s">
        <v>78</v>
      </c>
      <c r="C2" s="62" t="s">
        <v>79</v>
      </c>
    </row>
    <row r="3" spans="1:11">
      <c r="A3" t="s">
        <v>80</v>
      </c>
      <c r="C3" s="15" t="s">
        <v>81</v>
      </c>
    </row>
    <row r="4" spans="1:11">
      <c r="A4" t="s">
        <v>4</v>
      </c>
      <c r="C4" s="15" t="s">
        <v>82</v>
      </c>
    </row>
    <row r="5" spans="1:11">
      <c r="A5" t="s">
        <v>6</v>
      </c>
      <c r="C5" s="15" t="s">
        <v>7</v>
      </c>
    </row>
    <row r="6" spans="1:11">
      <c r="A6" t="s">
        <v>8</v>
      </c>
      <c r="C6" s="15" t="s">
        <v>83</v>
      </c>
    </row>
    <row r="8" spans="1:11" ht="30">
      <c r="A8" s="10" t="s">
        <v>10</v>
      </c>
      <c r="B8" s="10" t="s">
        <v>11</v>
      </c>
      <c r="C8" s="11" t="s">
        <v>12</v>
      </c>
      <c r="D8" s="10" t="s">
        <v>77</v>
      </c>
      <c r="E8" s="11" t="s">
        <v>176</v>
      </c>
    </row>
    <row r="9" spans="1:11">
      <c r="A9" s="2">
        <v>1</v>
      </c>
      <c r="B9" s="4">
        <v>25000</v>
      </c>
      <c r="C9" s="17" t="s">
        <v>31</v>
      </c>
      <c r="D9" s="9">
        <f>SUM($B$9:B9)/$C$1</f>
        <v>6.4267352185089976E-3</v>
      </c>
      <c r="E9" s="4">
        <f>C1-B9</f>
        <v>3865000</v>
      </c>
      <c r="J9">
        <v>2018</v>
      </c>
      <c r="K9" s="1">
        <f>SUM(B9:B12)</f>
        <v>100000</v>
      </c>
    </row>
    <row r="10" spans="1:11">
      <c r="A10" s="2">
        <v>2</v>
      </c>
      <c r="B10" s="4">
        <v>25000</v>
      </c>
      <c r="C10" s="18" t="s">
        <v>84</v>
      </c>
      <c r="D10" s="9">
        <f>SUM($B$9:B10)/$C$1</f>
        <v>1.2853470437017995E-2</v>
      </c>
      <c r="E10" s="4">
        <f>E9-B10</f>
        <v>3840000</v>
      </c>
      <c r="J10">
        <v>2019</v>
      </c>
      <c r="K10" s="1">
        <f>SUM(B13:B16)</f>
        <v>100000</v>
      </c>
    </row>
    <row r="11" spans="1:11">
      <c r="A11" s="2">
        <v>3</v>
      </c>
      <c r="B11" s="4">
        <v>25000</v>
      </c>
      <c r="C11" s="18" t="s">
        <v>33</v>
      </c>
      <c r="D11" s="9">
        <f>SUM($B$9:B11)/$C$1</f>
        <v>1.9280205655526992E-2</v>
      </c>
      <c r="E11" s="4">
        <f t="shared" ref="E11:E60" si="0">E10-B11</f>
        <v>3815000</v>
      </c>
      <c r="J11">
        <v>2020</v>
      </c>
      <c r="K11" s="1">
        <f>SUM(B17:B20)</f>
        <v>180000</v>
      </c>
    </row>
    <row r="12" spans="1:11">
      <c r="A12" s="2">
        <v>4</v>
      </c>
      <c r="B12" s="4">
        <v>25000</v>
      </c>
      <c r="C12" s="18" t="s">
        <v>85</v>
      </c>
      <c r="D12" s="9">
        <f>SUM($B$9:B12)/$C$1</f>
        <v>2.570694087403599E-2</v>
      </c>
      <c r="E12" s="4">
        <f t="shared" si="0"/>
        <v>3790000</v>
      </c>
      <c r="J12">
        <v>2021</v>
      </c>
      <c r="K12" s="1">
        <f>SUM(B21:B24)</f>
        <v>300000</v>
      </c>
    </row>
    <row r="13" spans="1:11">
      <c r="A13" s="2">
        <v>5</v>
      </c>
      <c r="B13" s="7">
        <v>25000</v>
      </c>
      <c r="C13" s="19" t="s">
        <v>35</v>
      </c>
      <c r="D13" s="9">
        <f>SUM($B$9:B13)/$C$1</f>
        <v>3.2133676092544985E-2</v>
      </c>
      <c r="E13" s="7">
        <f t="shared" si="0"/>
        <v>3765000</v>
      </c>
      <c r="J13">
        <v>2022</v>
      </c>
      <c r="K13" s="1">
        <f>SUM(B25:B28)</f>
        <v>300000</v>
      </c>
    </row>
    <row r="14" spans="1:11">
      <c r="A14" s="2">
        <v>6</v>
      </c>
      <c r="B14" s="7">
        <v>25000</v>
      </c>
      <c r="C14" s="20" t="s">
        <v>86</v>
      </c>
      <c r="D14" s="9">
        <f>SUM($B$9:B14)/$C$1</f>
        <v>3.8560411311053984E-2</v>
      </c>
      <c r="E14" s="7">
        <f t="shared" si="0"/>
        <v>3740000</v>
      </c>
      <c r="J14">
        <v>2023</v>
      </c>
      <c r="K14" s="1">
        <f>SUM(B29:B32)</f>
        <v>300000</v>
      </c>
    </row>
    <row r="15" spans="1:11">
      <c r="A15" s="2">
        <v>7</v>
      </c>
      <c r="B15" s="7">
        <v>25000</v>
      </c>
      <c r="C15" s="20" t="s">
        <v>37</v>
      </c>
      <c r="D15" s="9">
        <f>SUM($B$9:B15)/$C$1</f>
        <v>4.4987146529562982E-2</v>
      </c>
      <c r="E15" s="7">
        <f t="shared" si="0"/>
        <v>3715000</v>
      </c>
      <c r="J15">
        <v>2024</v>
      </c>
      <c r="K15" s="1">
        <f>SUM(B33:B36)</f>
        <v>300000</v>
      </c>
    </row>
    <row r="16" spans="1:11">
      <c r="A16" s="2">
        <v>8</v>
      </c>
      <c r="B16" s="7">
        <v>25000</v>
      </c>
      <c r="C16" s="20" t="s">
        <v>87</v>
      </c>
      <c r="D16" s="9">
        <f>SUM($B$9:B16)/$C$1</f>
        <v>5.1413881748071981E-2</v>
      </c>
      <c r="E16" s="7">
        <f t="shared" si="0"/>
        <v>3690000</v>
      </c>
      <c r="J16">
        <v>2025</v>
      </c>
      <c r="K16" s="1">
        <f>SUM(B37:B40)</f>
        <v>380000</v>
      </c>
    </row>
    <row r="17" spans="1:11">
      <c r="A17" s="2">
        <v>9</v>
      </c>
      <c r="B17" s="4">
        <v>45000</v>
      </c>
      <c r="C17" s="17" t="s">
        <v>39</v>
      </c>
      <c r="D17" s="9">
        <f>SUM($B$9:B17)/$C$1</f>
        <v>6.2982005141388173E-2</v>
      </c>
      <c r="E17" s="4">
        <f t="shared" si="0"/>
        <v>3645000</v>
      </c>
      <c r="J17">
        <v>2026</v>
      </c>
      <c r="K17" s="1">
        <f>SUM(B41:B44)</f>
        <v>380000</v>
      </c>
    </row>
    <row r="18" spans="1:11">
      <c r="A18" s="2">
        <v>10</v>
      </c>
      <c r="B18" s="4">
        <v>45000</v>
      </c>
      <c r="C18" s="18" t="s">
        <v>88</v>
      </c>
      <c r="D18" s="9">
        <f>SUM($B$9:B18)/$C$1</f>
        <v>7.4550128534704371E-2</v>
      </c>
      <c r="E18" s="4">
        <f t="shared" si="0"/>
        <v>3600000</v>
      </c>
      <c r="J18">
        <v>2027</v>
      </c>
      <c r="K18" s="1">
        <f>SUM(B45:B48)</f>
        <v>380000</v>
      </c>
    </row>
    <row r="19" spans="1:11">
      <c r="A19" s="2">
        <v>11</v>
      </c>
      <c r="B19" s="4">
        <v>45000</v>
      </c>
      <c r="C19" s="18" t="s">
        <v>40</v>
      </c>
      <c r="D19" s="9">
        <f>SUM($B$9:B19)/$C$1</f>
        <v>8.611825192802057E-2</v>
      </c>
      <c r="E19" s="4">
        <f t="shared" si="0"/>
        <v>3555000</v>
      </c>
      <c r="J19">
        <v>2028</v>
      </c>
      <c r="K19" s="1">
        <f>SUM(B49:B52)</f>
        <v>380000</v>
      </c>
    </row>
    <row r="20" spans="1:11">
      <c r="A20" s="2">
        <v>12</v>
      </c>
      <c r="B20" s="4">
        <v>45000</v>
      </c>
      <c r="C20" s="18" t="s">
        <v>89</v>
      </c>
      <c r="D20" s="9">
        <f>SUM($B$9:B20)/$C$1</f>
        <v>9.7686375321336755E-2</v>
      </c>
      <c r="E20" s="4">
        <f t="shared" si="0"/>
        <v>3510000</v>
      </c>
      <c r="J20">
        <v>2029</v>
      </c>
      <c r="K20" s="1">
        <f>SUM(B53:B56)</f>
        <v>390000</v>
      </c>
    </row>
    <row r="21" spans="1:11">
      <c r="A21" s="2">
        <v>13</v>
      </c>
      <c r="B21" s="7">
        <v>75000</v>
      </c>
      <c r="C21" s="19" t="s">
        <v>41</v>
      </c>
      <c r="D21" s="9">
        <f>SUM($B$9:B21)/$C$1</f>
        <v>0.11696658097686376</v>
      </c>
      <c r="E21" s="7">
        <f t="shared" si="0"/>
        <v>3435000</v>
      </c>
      <c r="J21">
        <v>2030</v>
      </c>
      <c r="K21" s="1">
        <f>SUM(B57:B60)</f>
        <v>400000</v>
      </c>
    </row>
    <row r="22" spans="1:11">
      <c r="A22" s="2">
        <v>14</v>
      </c>
      <c r="B22" s="7">
        <v>75000</v>
      </c>
      <c r="C22" s="20" t="s">
        <v>90</v>
      </c>
      <c r="D22" s="9">
        <f>SUM($B$9:B22)/$C$1</f>
        <v>0.13624678663239073</v>
      </c>
      <c r="E22" s="7">
        <f t="shared" si="0"/>
        <v>3360000</v>
      </c>
    </row>
    <row r="23" spans="1:11">
      <c r="A23" s="2">
        <v>15</v>
      </c>
      <c r="B23" s="7">
        <v>75000</v>
      </c>
      <c r="C23" s="20" t="s">
        <v>42</v>
      </c>
      <c r="D23" s="9">
        <f>SUM($B$9:B23)/$C$1</f>
        <v>0.15552699228791775</v>
      </c>
      <c r="E23" s="7">
        <f t="shared" si="0"/>
        <v>3285000</v>
      </c>
      <c r="K23" s="1">
        <f>SUM(K9:K21)</f>
        <v>3890000</v>
      </c>
    </row>
    <row r="24" spans="1:11">
      <c r="A24" s="2">
        <v>16</v>
      </c>
      <c r="B24" s="7">
        <v>75000</v>
      </c>
      <c r="C24" s="20" t="s">
        <v>91</v>
      </c>
      <c r="D24" s="9">
        <f>SUM($B$9:B24)/$C$1</f>
        <v>0.17480719794344474</v>
      </c>
      <c r="E24" s="7">
        <f t="shared" si="0"/>
        <v>3210000</v>
      </c>
    </row>
    <row r="25" spans="1:11">
      <c r="A25" s="2">
        <v>17</v>
      </c>
      <c r="B25" s="4">
        <v>75000</v>
      </c>
      <c r="C25" s="17" t="s">
        <v>44</v>
      </c>
      <c r="D25" s="9">
        <f>SUM($B$9:B25)/$C$1</f>
        <v>0.19408740359897173</v>
      </c>
      <c r="E25" s="4">
        <f t="shared" si="0"/>
        <v>3135000</v>
      </c>
    </row>
    <row r="26" spans="1:11">
      <c r="A26" s="2">
        <v>18</v>
      </c>
      <c r="B26" s="4">
        <v>75000</v>
      </c>
      <c r="C26" s="18" t="s">
        <v>92</v>
      </c>
      <c r="D26" s="9">
        <f>SUM($B$9:B26)/$C$1</f>
        <v>0.21336760925449871</v>
      </c>
      <c r="E26" s="4">
        <f t="shared" si="0"/>
        <v>3060000</v>
      </c>
    </row>
    <row r="27" spans="1:11">
      <c r="A27" s="2">
        <v>19</v>
      </c>
      <c r="B27" s="4">
        <v>75000</v>
      </c>
      <c r="C27" s="18" t="s">
        <v>46</v>
      </c>
      <c r="D27" s="9">
        <f>SUM($B$9:B27)/$C$1</f>
        <v>0.2326478149100257</v>
      </c>
      <c r="E27" s="4">
        <f t="shared" si="0"/>
        <v>2985000</v>
      </c>
    </row>
    <row r="28" spans="1:11">
      <c r="A28" s="2">
        <v>20</v>
      </c>
      <c r="B28" s="4">
        <v>75000</v>
      </c>
      <c r="C28" s="18" t="s">
        <v>93</v>
      </c>
      <c r="D28" s="9">
        <f>SUM($B$9:B28)/$C$1</f>
        <v>0.25192802056555269</v>
      </c>
      <c r="E28" s="4">
        <f t="shared" si="0"/>
        <v>2910000</v>
      </c>
    </row>
    <row r="29" spans="1:11">
      <c r="A29" s="2">
        <v>21</v>
      </c>
      <c r="B29" s="7">
        <v>75000</v>
      </c>
      <c r="C29" s="19" t="s">
        <v>48</v>
      </c>
      <c r="D29" s="9">
        <f>SUM($B$9:B29)/$C$1</f>
        <v>0.27120822622107971</v>
      </c>
      <c r="E29" s="7">
        <f t="shared" si="0"/>
        <v>2835000</v>
      </c>
    </row>
    <row r="30" spans="1:11">
      <c r="A30" s="2">
        <v>22</v>
      </c>
      <c r="B30" s="7">
        <v>75000</v>
      </c>
      <c r="C30" s="20" t="s">
        <v>94</v>
      </c>
      <c r="D30" s="9">
        <f>SUM($B$9:B30)/$C$1</f>
        <v>0.29048843187660667</v>
      </c>
      <c r="E30" s="7">
        <f t="shared" si="0"/>
        <v>2760000</v>
      </c>
    </row>
    <row r="31" spans="1:11">
      <c r="A31" s="2">
        <v>23</v>
      </c>
      <c r="B31" s="7">
        <v>75000</v>
      </c>
      <c r="C31" s="20" t="s">
        <v>50</v>
      </c>
      <c r="D31" s="9">
        <f>SUM($B$9:B31)/$C$1</f>
        <v>0.30976863753213368</v>
      </c>
      <c r="E31" s="7">
        <f t="shared" si="0"/>
        <v>2685000</v>
      </c>
    </row>
    <row r="32" spans="1:11">
      <c r="A32" s="2">
        <v>24</v>
      </c>
      <c r="B32" s="7">
        <v>75000</v>
      </c>
      <c r="C32" s="20" t="s">
        <v>95</v>
      </c>
      <c r="D32" s="9">
        <f>SUM($B$9:B32)/$C$1</f>
        <v>0.32904884318766064</v>
      </c>
      <c r="E32" s="7">
        <f t="shared" si="0"/>
        <v>2610000</v>
      </c>
    </row>
    <row r="33" spans="1:5">
      <c r="A33" s="2">
        <v>25</v>
      </c>
      <c r="B33" s="4">
        <v>75000</v>
      </c>
      <c r="C33" s="17" t="s">
        <v>52</v>
      </c>
      <c r="D33" s="9">
        <f>SUM($B$9:B33)/$C$1</f>
        <v>0.34832904884318766</v>
      </c>
      <c r="E33" s="4">
        <f t="shared" si="0"/>
        <v>2535000</v>
      </c>
    </row>
    <row r="34" spans="1:5">
      <c r="A34" s="2">
        <v>26</v>
      </c>
      <c r="B34" s="4">
        <v>75000</v>
      </c>
      <c r="C34" s="18" t="s">
        <v>96</v>
      </c>
      <c r="D34" s="9">
        <f>SUM($B$9:B34)/$C$1</f>
        <v>0.36760925449871468</v>
      </c>
      <c r="E34" s="4">
        <f t="shared" si="0"/>
        <v>2460000</v>
      </c>
    </row>
    <row r="35" spans="1:5">
      <c r="A35" s="2">
        <v>27</v>
      </c>
      <c r="B35" s="4">
        <v>75000</v>
      </c>
      <c r="C35" s="18" t="s">
        <v>54</v>
      </c>
      <c r="D35" s="9">
        <f>SUM($B$9:B35)/$C$1</f>
        <v>0.38688946015424164</v>
      </c>
      <c r="E35" s="4">
        <f t="shared" si="0"/>
        <v>2385000</v>
      </c>
    </row>
    <row r="36" spans="1:5">
      <c r="A36" s="2">
        <v>28</v>
      </c>
      <c r="B36" s="4">
        <v>75000</v>
      </c>
      <c r="C36" s="18" t="s">
        <v>97</v>
      </c>
      <c r="D36" s="9">
        <f>SUM($B$9:B36)/$C$1</f>
        <v>0.40616966580976865</v>
      </c>
      <c r="E36" s="4">
        <f t="shared" si="0"/>
        <v>2310000</v>
      </c>
    </row>
    <row r="37" spans="1:5">
      <c r="A37" s="2">
        <v>29</v>
      </c>
      <c r="B37" s="7">
        <v>95000</v>
      </c>
      <c r="C37" s="19" t="s">
        <v>56</v>
      </c>
      <c r="D37" s="9">
        <f>SUM($B$9:B37)/$C$1</f>
        <v>0.43059125964010281</v>
      </c>
      <c r="E37" s="7">
        <f t="shared" si="0"/>
        <v>2215000</v>
      </c>
    </row>
    <row r="38" spans="1:5">
      <c r="A38" s="2">
        <v>30</v>
      </c>
      <c r="B38" s="7">
        <v>95000</v>
      </c>
      <c r="C38" s="20" t="s">
        <v>98</v>
      </c>
      <c r="D38" s="9">
        <f>SUM($B$9:B38)/$C$1</f>
        <v>0.45501285347043702</v>
      </c>
      <c r="E38" s="7">
        <f t="shared" si="0"/>
        <v>2120000</v>
      </c>
    </row>
    <row r="39" spans="1:5">
      <c r="A39" s="2">
        <v>31</v>
      </c>
      <c r="B39" s="7">
        <v>95000</v>
      </c>
      <c r="C39" s="20" t="s">
        <v>58</v>
      </c>
      <c r="D39" s="9">
        <f>SUM($B$9:B39)/$C$1</f>
        <v>0.47943444730077123</v>
      </c>
      <c r="E39" s="7">
        <f t="shared" si="0"/>
        <v>2025000</v>
      </c>
    </row>
    <row r="40" spans="1:5">
      <c r="A40" s="2">
        <v>32</v>
      </c>
      <c r="B40" s="7">
        <v>95000</v>
      </c>
      <c r="C40" s="20" t="s">
        <v>99</v>
      </c>
      <c r="D40" s="9">
        <f>SUM($B$9:B40)/$C$1</f>
        <v>0.50385604113110538</v>
      </c>
      <c r="E40" s="7">
        <f t="shared" si="0"/>
        <v>1930000</v>
      </c>
    </row>
    <row r="41" spans="1:5">
      <c r="A41" s="2">
        <v>33</v>
      </c>
      <c r="B41" s="4">
        <v>95000</v>
      </c>
      <c r="C41" s="17" t="s">
        <v>59</v>
      </c>
      <c r="D41" s="9">
        <f>SUM($B$9:B41)/$C$1</f>
        <v>0.52827763496143954</v>
      </c>
      <c r="E41" s="4">
        <f t="shared" si="0"/>
        <v>1835000</v>
      </c>
    </row>
    <row r="42" spans="1:5">
      <c r="A42" s="2">
        <v>34</v>
      </c>
      <c r="B42" s="4">
        <v>95000</v>
      </c>
      <c r="C42" s="18" t="s">
        <v>100</v>
      </c>
      <c r="D42" s="9">
        <f>SUM($B$9:B42)/$C$1</f>
        <v>0.5526992287917738</v>
      </c>
      <c r="E42" s="4">
        <f t="shared" si="0"/>
        <v>1740000</v>
      </c>
    </row>
    <row r="43" spans="1:5">
      <c r="A43" s="2">
        <v>35</v>
      </c>
      <c r="B43" s="4">
        <v>95000</v>
      </c>
      <c r="C43" s="18" t="s">
        <v>60</v>
      </c>
      <c r="D43" s="9">
        <f>SUM($B$9:B43)/$C$1</f>
        <v>0.57712082262210795</v>
      </c>
      <c r="E43" s="4">
        <f t="shared" si="0"/>
        <v>1645000</v>
      </c>
    </row>
    <row r="44" spans="1:5">
      <c r="A44" s="2">
        <v>36</v>
      </c>
      <c r="B44" s="4">
        <v>95000</v>
      </c>
      <c r="C44" s="18" t="s">
        <v>101</v>
      </c>
      <c r="D44" s="9">
        <f>SUM($B$9:B44)/$C$1</f>
        <v>0.60154241645244211</v>
      </c>
      <c r="E44" s="4">
        <f t="shared" si="0"/>
        <v>1550000</v>
      </c>
    </row>
    <row r="45" spans="1:5">
      <c r="A45" s="2">
        <v>37</v>
      </c>
      <c r="B45" s="7">
        <v>95000</v>
      </c>
      <c r="C45" s="19" t="s">
        <v>102</v>
      </c>
      <c r="D45" s="9">
        <f>SUM($B$9:B45)/$C$1</f>
        <v>0.62596401028277637</v>
      </c>
      <c r="E45" s="7">
        <f t="shared" si="0"/>
        <v>1455000</v>
      </c>
    </row>
    <row r="46" spans="1:5">
      <c r="A46" s="2">
        <v>38</v>
      </c>
      <c r="B46" s="7">
        <v>95000</v>
      </c>
      <c r="C46" s="20" t="s">
        <v>103</v>
      </c>
      <c r="D46" s="9">
        <f>SUM($B$9:B46)/$C$1</f>
        <v>0.65038560411311053</v>
      </c>
      <c r="E46" s="7">
        <f t="shared" si="0"/>
        <v>1360000</v>
      </c>
    </row>
    <row r="47" spans="1:5">
      <c r="A47" s="2">
        <v>39</v>
      </c>
      <c r="B47" s="7">
        <v>95000</v>
      </c>
      <c r="C47" s="20" t="s">
        <v>104</v>
      </c>
      <c r="D47" s="9">
        <f>SUM($B$9:B47)/$C$1</f>
        <v>0.67480719794344468</v>
      </c>
      <c r="E47" s="7">
        <f t="shared" si="0"/>
        <v>1265000</v>
      </c>
    </row>
    <row r="48" spans="1:5">
      <c r="A48" s="2">
        <v>40</v>
      </c>
      <c r="B48" s="7">
        <v>95000</v>
      </c>
      <c r="C48" s="20" t="s">
        <v>105</v>
      </c>
      <c r="D48" s="9">
        <f>SUM($B$9:B48)/$C$1</f>
        <v>0.69922879177377895</v>
      </c>
      <c r="E48" s="7">
        <f t="shared" si="0"/>
        <v>1170000</v>
      </c>
    </row>
    <row r="49" spans="1:5">
      <c r="A49" s="2">
        <v>41</v>
      </c>
      <c r="B49" s="4">
        <v>95000</v>
      </c>
      <c r="C49" s="17" t="s">
        <v>106</v>
      </c>
      <c r="D49" s="9">
        <f>SUM($B$9:B49)/$C$1</f>
        <v>0.7236503856041131</v>
      </c>
      <c r="E49" s="4">
        <f t="shared" si="0"/>
        <v>1075000</v>
      </c>
    </row>
    <row r="50" spans="1:5">
      <c r="A50" s="2">
        <v>42</v>
      </c>
      <c r="B50" s="4">
        <v>95000</v>
      </c>
      <c r="C50" s="18" t="s">
        <v>107</v>
      </c>
      <c r="D50" s="9">
        <f>SUM($B$9:B50)/$C$1</f>
        <v>0.74807197943444725</v>
      </c>
      <c r="E50" s="4">
        <f t="shared" si="0"/>
        <v>980000</v>
      </c>
    </row>
    <row r="51" spans="1:5">
      <c r="A51" s="2">
        <v>43</v>
      </c>
      <c r="B51" s="4">
        <v>95000</v>
      </c>
      <c r="C51" s="18" t="s">
        <v>108</v>
      </c>
      <c r="D51" s="9">
        <f>SUM($B$9:B51)/$C$1</f>
        <v>0.77249357326478152</v>
      </c>
      <c r="E51" s="4">
        <f t="shared" si="0"/>
        <v>885000</v>
      </c>
    </row>
    <row r="52" spans="1:5">
      <c r="A52" s="2">
        <v>44</v>
      </c>
      <c r="B52" s="4">
        <v>95000</v>
      </c>
      <c r="C52" s="18" t="s">
        <v>109</v>
      </c>
      <c r="D52" s="9">
        <f>SUM($B$9:B52)/$C$1</f>
        <v>0.79691516709511567</v>
      </c>
      <c r="E52" s="4">
        <f t="shared" si="0"/>
        <v>790000</v>
      </c>
    </row>
    <row r="53" spans="1:5">
      <c r="A53" s="2">
        <v>45</v>
      </c>
      <c r="B53" s="7">
        <v>97500</v>
      </c>
      <c r="C53" s="19" t="s">
        <v>110</v>
      </c>
      <c r="D53" s="9">
        <f>SUM($B$9:B53)/$C$1</f>
        <v>0.82197943444730082</v>
      </c>
      <c r="E53" s="7">
        <f t="shared" si="0"/>
        <v>692500</v>
      </c>
    </row>
    <row r="54" spans="1:5">
      <c r="A54" s="2">
        <v>46</v>
      </c>
      <c r="B54" s="7">
        <v>97500</v>
      </c>
      <c r="C54" s="20" t="s">
        <v>111</v>
      </c>
      <c r="D54" s="9">
        <f>SUM($B$9:B54)/$C$1</f>
        <v>0.84704370179948585</v>
      </c>
      <c r="E54" s="7">
        <f t="shared" si="0"/>
        <v>595000</v>
      </c>
    </row>
    <row r="55" spans="1:5">
      <c r="A55" s="2">
        <v>47</v>
      </c>
      <c r="B55" s="7">
        <v>97500</v>
      </c>
      <c r="C55" s="20" t="s">
        <v>112</v>
      </c>
      <c r="D55" s="9">
        <f>SUM($B$9:B55)/$C$1</f>
        <v>0.87210796915167099</v>
      </c>
      <c r="E55" s="7">
        <f t="shared" si="0"/>
        <v>497500</v>
      </c>
    </row>
    <row r="56" spans="1:5">
      <c r="A56" s="2">
        <v>48</v>
      </c>
      <c r="B56" s="7">
        <v>97500</v>
      </c>
      <c r="C56" s="20" t="s">
        <v>113</v>
      </c>
      <c r="D56" s="9">
        <f>SUM($B$9:B56)/$C$1</f>
        <v>0.89717223650385602</v>
      </c>
      <c r="E56" s="7">
        <f t="shared" si="0"/>
        <v>400000</v>
      </c>
    </row>
    <row r="57" spans="1:5">
      <c r="A57" s="2">
        <v>49</v>
      </c>
      <c r="B57" s="4">
        <v>100000</v>
      </c>
      <c r="C57" s="17" t="s">
        <v>114</v>
      </c>
      <c r="D57" s="9">
        <f>SUM($B$9:B57)/$C$1</f>
        <v>0.92287917737789205</v>
      </c>
      <c r="E57" s="4">
        <f t="shared" si="0"/>
        <v>300000</v>
      </c>
    </row>
    <row r="58" spans="1:5">
      <c r="A58" s="2">
        <v>50</v>
      </c>
      <c r="B58" s="4">
        <v>100000</v>
      </c>
      <c r="C58" s="18" t="s">
        <v>115</v>
      </c>
      <c r="D58" s="9">
        <f>SUM($B$9:B58)/$C$1</f>
        <v>0.94858611825192807</v>
      </c>
      <c r="E58" s="4">
        <f t="shared" si="0"/>
        <v>200000</v>
      </c>
    </row>
    <row r="59" spans="1:5">
      <c r="A59" s="2">
        <v>51</v>
      </c>
      <c r="B59" s="4">
        <v>100000</v>
      </c>
      <c r="C59" s="18" t="s">
        <v>116</v>
      </c>
      <c r="D59" s="9">
        <f>SUM($B$9:B59)/$C$1</f>
        <v>0.97429305912596398</v>
      </c>
      <c r="E59" s="4">
        <f t="shared" si="0"/>
        <v>100000</v>
      </c>
    </row>
    <row r="60" spans="1:5">
      <c r="A60" s="2">
        <v>52</v>
      </c>
      <c r="B60" s="4">
        <v>100000</v>
      </c>
      <c r="C60" s="18" t="s">
        <v>117</v>
      </c>
      <c r="D60" s="9">
        <f>SUM($B$9:B60)/$C$1</f>
        <v>1</v>
      </c>
      <c r="E60" s="4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B14" sqref="B14:B17"/>
    </sheetView>
  </sheetViews>
  <sheetFormatPr defaultRowHeight="15"/>
  <cols>
    <col min="2" max="2" width="12.7109375" customWidth="1"/>
    <col min="3" max="3" width="14.5703125" customWidth="1"/>
    <col min="5" max="5" width="23.7109375" customWidth="1"/>
    <col min="10" max="10" width="13.42578125" bestFit="1" customWidth="1"/>
  </cols>
  <sheetData>
    <row r="1" spans="1:10">
      <c r="A1" t="s">
        <v>0</v>
      </c>
      <c r="C1" s="1">
        <v>400000</v>
      </c>
    </row>
    <row r="2" spans="1:10">
      <c r="A2" t="s">
        <v>118</v>
      </c>
      <c r="C2">
        <v>2017</v>
      </c>
    </row>
    <row r="3" spans="1:10">
      <c r="A3" t="s">
        <v>80</v>
      </c>
      <c r="C3" t="s">
        <v>81</v>
      </c>
    </row>
    <row r="4" spans="1:10">
      <c r="A4" t="s">
        <v>4</v>
      </c>
      <c r="C4" t="s">
        <v>155</v>
      </c>
    </row>
    <row r="5" spans="1:10">
      <c r="A5" t="s">
        <v>6</v>
      </c>
      <c r="C5" t="s">
        <v>7</v>
      </c>
    </row>
    <row r="6" spans="1:10">
      <c r="A6" t="s">
        <v>8</v>
      </c>
      <c r="C6" t="s">
        <v>154</v>
      </c>
    </row>
    <row r="8" spans="1:10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0">
      <c r="A9" s="2">
        <v>1</v>
      </c>
      <c r="B9" s="4">
        <v>30000</v>
      </c>
      <c r="C9" s="12" t="s">
        <v>85</v>
      </c>
      <c r="D9" s="9">
        <f>SUM($B$9:B9)/$C$1</f>
        <v>7.4999999999999997E-2</v>
      </c>
      <c r="E9" s="23">
        <f>C1-B9</f>
        <v>370000</v>
      </c>
      <c r="I9">
        <v>2018</v>
      </c>
      <c r="J9" s="1">
        <f>SUM(B9)</f>
        <v>30000</v>
      </c>
    </row>
    <row r="10" spans="1:10">
      <c r="A10" s="2">
        <v>2</v>
      </c>
      <c r="B10" s="7">
        <v>25000</v>
      </c>
      <c r="C10" s="8" t="s">
        <v>35</v>
      </c>
      <c r="D10" s="9">
        <f>SUM($B$9:B10)/$C$1</f>
        <v>0.13750000000000001</v>
      </c>
      <c r="E10" s="23">
        <f>E9-B10</f>
        <v>345000</v>
      </c>
      <c r="I10">
        <v>2019</v>
      </c>
      <c r="J10" s="1">
        <f>SUM(B10:B13)</f>
        <v>100000</v>
      </c>
    </row>
    <row r="11" spans="1:10">
      <c r="A11" s="2">
        <v>3</v>
      </c>
      <c r="B11" s="7">
        <v>25000</v>
      </c>
      <c r="C11" s="2" t="s">
        <v>86</v>
      </c>
      <c r="D11" s="9">
        <f>SUM($B$9:B11)/$C$1</f>
        <v>0.2</v>
      </c>
      <c r="E11" s="23">
        <f t="shared" ref="E11:E30" si="0">E10-B11</f>
        <v>320000</v>
      </c>
      <c r="I11">
        <v>2020</v>
      </c>
      <c r="J11" s="1">
        <f>SUM(B14:B17)</f>
        <v>80000</v>
      </c>
    </row>
    <row r="12" spans="1:10">
      <c r="A12" s="2">
        <v>4</v>
      </c>
      <c r="B12" s="7">
        <v>25000</v>
      </c>
      <c r="C12" s="2" t="s">
        <v>37</v>
      </c>
      <c r="D12" s="9">
        <f>SUM($B$9:B12)/$C$1</f>
        <v>0.26250000000000001</v>
      </c>
      <c r="E12" s="1">
        <f t="shared" si="0"/>
        <v>295000</v>
      </c>
      <c r="I12">
        <v>2021</v>
      </c>
      <c r="J12" s="1">
        <f>SUM(B18:B21)</f>
        <v>80000</v>
      </c>
    </row>
    <row r="13" spans="1:10">
      <c r="A13" s="2">
        <v>5</v>
      </c>
      <c r="B13" s="7">
        <v>25000</v>
      </c>
      <c r="C13" s="2" t="s">
        <v>87</v>
      </c>
      <c r="D13" s="9">
        <f>SUM($B$9:B13)/$C$1</f>
        <v>0.32500000000000001</v>
      </c>
      <c r="E13" s="1">
        <f t="shared" si="0"/>
        <v>270000</v>
      </c>
      <c r="I13">
        <v>2022</v>
      </c>
      <c r="J13" s="1">
        <f>SUM(B22:B25)</f>
        <v>60000</v>
      </c>
    </row>
    <row r="14" spans="1:10">
      <c r="A14" s="2">
        <v>6</v>
      </c>
      <c r="B14" s="4">
        <v>20000</v>
      </c>
      <c r="C14" s="12" t="s">
        <v>39</v>
      </c>
      <c r="D14" s="9">
        <f>SUM($B$9:B14)/$C$1</f>
        <v>0.375</v>
      </c>
      <c r="E14" s="1">
        <f t="shared" si="0"/>
        <v>250000</v>
      </c>
      <c r="I14">
        <v>2023</v>
      </c>
      <c r="J14" s="1">
        <f>SUM(B26:B29)</f>
        <v>40000</v>
      </c>
    </row>
    <row r="15" spans="1:10">
      <c r="A15" s="2">
        <v>7</v>
      </c>
      <c r="B15" s="4">
        <v>20000</v>
      </c>
      <c r="C15" s="13" t="s">
        <v>88</v>
      </c>
      <c r="D15" s="9">
        <f>SUM($B$9:B15)/$C$1</f>
        <v>0.42499999999999999</v>
      </c>
      <c r="E15" s="1">
        <f t="shared" si="0"/>
        <v>230000</v>
      </c>
      <c r="I15">
        <v>2024</v>
      </c>
      <c r="J15" s="1">
        <f>SUM(B30)</f>
        <v>10000</v>
      </c>
    </row>
    <row r="16" spans="1:10">
      <c r="A16" s="2">
        <v>8</v>
      </c>
      <c r="B16" s="4">
        <v>20000</v>
      </c>
      <c r="C16" s="13" t="s">
        <v>40</v>
      </c>
      <c r="D16" s="9">
        <f>SUM($B$9:B16)/$C$1</f>
        <v>0.47499999999999998</v>
      </c>
      <c r="E16" s="1">
        <f t="shared" si="0"/>
        <v>210000</v>
      </c>
    </row>
    <row r="17" spans="1:10">
      <c r="A17" s="2">
        <v>9</v>
      </c>
      <c r="B17" s="4">
        <v>20000</v>
      </c>
      <c r="C17" s="13" t="s">
        <v>89</v>
      </c>
      <c r="D17" s="9">
        <f>SUM($B$9:B17)/$C$1</f>
        <v>0.52500000000000002</v>
      </c>
      <c r="E17" s="1">
        <f t="shared" si="0"/>
        <v>190000</v>
      </c>
      <c r="J17" s="1">
        <f>SUM(J9:J15)</f>
        <v>400000</v>
      </c>
    </row>
    <row r="18" spans="1:10">
      <c r="A18" s="2">
        <v>10</v>
      </c>
      <c r="B18" s="7">
        <v>20000</v>
      </c>
      <c r="C18" s="8" t="s">
        <v>41</v>
      </c>
      <c r="D18" s="9">
        <f>SUM($B$9:B18)/$C$1</f>
        <v>0.57499999999999996</v>
      </c>
      <c r="E18" s="1">
        <f t="shared" si="0"/>
        <v>170000</v>
      </c>
    </row>
    <row r="19" spans="1:10">
      <c r="A19" s="2">
        <v>11</v>
      </c>
      <c r="B19" s="7">
        <v>20000</v>
      </c>
      <c r="C19" s="2" t="s">
        <v>90</v>
      </c>
      <c r="D19" s="9">
        <f>SUM($B$9:B19)/$C$1</f>
        <v>0.625</v>
      </c>
      <c r="E19" s="1">
        <f t="shared" si="0"/>
        <v>150000</v>
      </c>
    </row>
    <row r="20" spans="1:10">
      <c r="A20" s="2">
        <v>12</v>
      </c>
      <c r="B20" s="7">
        <v>20000</v>
      </c>
      <c r="C20" s="2" t="s">
        <v>42</v>
      </c>
      <c r="D20" s="9">
        <f>SUM($B$9:B20)/$C$1</f>
        <v>0.67500000000000004</v>
      </c>
      <c r="E20" s="1">
        <f t="shared" si="0"/>
        <v>130000</v>
      </c>
    </row>
    <row r="21" spans="1:10">
      <c r="A21" s="2">
        <v>13</v>
      </c>
      <c r="B21" s="7">
        <v>20000</v>
      </c>
      <c r="C21" s="2" t="s">
        <v>91</v>
      </c>
      <c r="D21" s="9">
        <f>SUM($B$9:B21)/$C$1</f>
        <v>0.72499999999999998</v>
      </c>
      <c r="E21" s="1">
        <f t="shared" si="0"/>
        <v>110000</v>
      </c>
    </row>
    <row r="22" spans="1:10">
      <c r="A22" s="2">
        <v>14</v>
      </c>
      <c r="B22" s="4">
        <v>20000</v>
      </c>
      <c r="C22" s="12" t="s">
        <v>44</v>
      </c>
      <c r="D22" s="9">
        <f>SUM($B$9:B22)/$C$1</f>
        <v>0.77500000000000002</v>
      </c>
      <c r="E22" s="1">
        <f t="shared" si="0"/>
        <v>90000</v>
      </c>
    </row>
    <row r="23" spans="1:10">
      <c r="A23" s="2">
        <v>15</v>
      </c>
      <c r="B23" s="4">
        <v>20000</v>
      </c>
      <c r="C23" s="13" t="s">
        <v>92</v>
      </c>
      <c r="D23" s="9">
        <f>SUM($B$9:B23)/$C$1</f>
        <v>0.82499999999999996</v>
      </c>
      <c r="E23" s="1">
        <f t="shared" si="0"/>
        <v>70000</v>
      </c>
    </row>
    <row r="24" spans="1:10">
      <c r="A24" s="2">
        <v>16</v>
      </c>
      <c r="B24" s="4">
        <v>10000</v>
      </c>
      <c r="C24" s="13" t="s">
        <v>46</v>
      </c>
      <c r="D24" s="9">
        <f>SUM($B$9:B24)/$C$1</f>
        <v>0.85</v>
      </c>
      <c r="E24" s="1">
        <f t="shared" si="0"/>
        <v>60000</v>
      </c>
    </row>
    <row r="25" spans="1:10">
      <c r="A25" s="2">
        <v>17</v>
      </c>
      <c r="B25" s="4">
        <v>10000</v>
      </c>
      <c r="C25" s="13" t="s">
        <v>93</v>
      </c>
      <c r="D25" s="9">
        <f>SUM($B$9:B25)/$C$1</f>
        <v>0.875</v>
      </c>
      <c r="E25" s="1">
        <f t="shared" si="0"/>
        <v>50000</v>
      </c>
    </row>
    <row r="26" spans="1:10">
      <c r="A26" s="2">
        <v>18</v>
      </c>
      <c r="B26" s="7">
        <v>10000</v>
      </c>
      <c r="C26" s="8" t="s">
        <v>48</v>
      </c>
      <c r="D26" s="9">
        <f>SUM($B$9:B26)/$C$1</f>
        <v>0.9</v>
      </c>
      <c r="E26" s="1">
        <f t="shared" si="0"/>
        <v>40000</v>
      </c>
    </row>
    <row r="27" spans="1:10">
      <c r="A27" s="2">
        <v>19</v>
      </c>
      <c r="B27" s="7">
        <v>10000</v>
      </c>
      <c r="C27" s="2" t="s">
        <v>94</v>
      </c>
      <c r="D27" s="9">
        <f>SUM($B$9:B27)/$C$1</f>
        <v>0.92500000000000004</v>
      </c>
      <c r="E27" s="1">
        <f t="shared" si="0"/>
        <v>30000</v>
      </c>
    </row>
    <row r="28" spans="1:10">
      <c r="A28" s="2">
        <v>20</v>
      </c>
      <c r="B28" s="7">
        <v>10000</v>
      </c>
      <c r="C28" s="2" t="s">
        <v>50</v>
      </c>
      <c r="D28" s="9">
        <f>SUM($B$9:B28)/$C$1</f>
        <v>0.95</v>
      </c>
      <c r="E28" s="1">
        <f t="shared" si="0"/>
        <v>20000</v>
      </c>
    </row>
    <row r="29" spans="1:10">
      <c r="A29" s="2">
        <v>21</v>
      </c>
      <c r="B29" s="7">
        <v>10000</v>
      </c>
      <c r="C29" s="2" t="s">
        <v>95</v>
      </c>
      <c r="D29" s="9">
        <f>SUM($B$9:B29)/$C$1</f>
        <v>0.97499999999999998</v>
      </c>
      <c r="E29" s="1">
        <f t="shared" si="0"/>
        <v>10000</v>
      </c>
    </row>
    <row r="30" spans="1:10">
      <c r="A30" s="2">
        <v>22</v>
      </c>
      <c r="B30" s="4">
        <v>10000</v>
      </c>
      <c r="C30" s="12" t="s">
        <v>52</v>
      </c>
      <c r="D30" s="9">
        <f>SUM($B$9:B30)/$C$1</f>
        <v>1</v>
      </c>
      <c r="E30" s="1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"/>
  <sheetViews>
    <sheetView workbookViewId="0">
      <selection activeCell="M23" sqref="M23"/>
    </sheetView>
  </sheetViews>
  <sheetFormatPr defaultRowHeight="15"/>
  <cols>
    <col min="2" max="2" width="12.28515625" customWidth="1"/>
    <col min="3" max="3" width="14.5703125" customWidth="1"/>
    <col min="5" max="5" width="18.85546875" customWidth="1"/>
    <col min="10" max="10" width="13.42578125" bestFit="1" customWidth="1"/>
  </cols>
  <sheetData>
    <row r="1" spans="1:10">
      <c r="A1" t="s">
        <v>0</v>
      </c>
      <c r="C1" s="1">
        <v>340000</v>
      </c>
    </row>
    <row r="2" spans="1:10">
      <c r="A2" t="s">
        <v>118</v>
      </c>
      <c r="C2">
        <v>2016</v>
      </c>
    </row>
    <row r="3" spans="1:10">
      <c r="A3" t="s">
        <v>80</v>
      </c>
      <c r="C3" t="s">
        <v>81</v>
      </c>
    </row>
    <row r="4" spans="1:10">
      <c r="A4" t="s">
        <v>4</v>
      </c>
      <c r="C4" t="s">
        <v>119</v>
      </c>
    </row>
    <row r="5" spans="1:10">
      <c r="A5" t="s">
        <v>6</v>
      </c>
      <c r="C5" t="s">
        <v>7</v>
      </c>
    </row>
    <row r="6" spans="1:10">
      <c r="A6" t="s">
        <v>8</v>
      </c>
      <c r="C6" t="s">
        <v>120</v>
      </c>
    </row>
    <row r="8" spans="1:10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0">
      <c r="A9" s="2">
        <v>1</v>
      </c>
      <c r="B9" s="4">
        <v>10000</v>
      </c>
      <c r="C9" s="12" t="s">
        <v>121</v>
      </c>
      <c r="D9" s="9">
        <f>SUM($B$9:B9)/$C$1</f>
        <v>2.9411764705882353E-2</v>
      </c>
      <c r="E9" s="23">
        <f>C1-B9</f>
        <v>330000</v>
      </c>
      <c r="I9">
        <v>2017</v>
      </c>
      <c r="J9" s="1">
        <f>SUM(B9)</f>
        <v>10000</v>
      </c>
    </row>
    <row r="10" spans="1:10">
      <c r="A10" s="2">
        <v>2</v>
      </c>
      <c r="B10" s="7">
        <v>10000</v>
      </c>
      <c r="C10" s="8" t="s">
        <v>122</v>
      </c>
      <c r="D10" s="9">
        <f>SUM($B$9:B10)/$C$1</f>
        <v>5.8823529411764705E-2</v>
      </c>
      <c r="E10" s="23">
        <f>E9-B10</f>
        <v>320000</v>
      </c>
      <c r="I10">
        <v>2018</v>
      </c>
      <c r="J10" s="1">
        <f>SUM(B10:B13)</f>
        <v>40000</v>
      </c>
    </row>
    <row r="11" spans="1:10">
      <c r="A11" s="2">
        <v>3</v>
      </c>
      <c r="B11" s="7">
        <v>10000</v>
      </c>
      <c r="C11" s="8" t="s">
        <v>123</v>
      </c>
      <c r="D11" s="9">
        <f>SUM($B$9:B11)/$C$1</f>
        <v>8.8235294117647065E-2</v>
      </c>
      <c r="E11" s="23">
        <f t="shared" ref="E11:E41" si="0">E10-B11</f>
        <v>310000</v>
      </c>
      <c r="I11">
        <v>2019</v>
      </c>
      <c r="J11" s="1">
        <f>SUM(B14:B17)</f>
        <v>40000</v>
      </c>
    </row>
    <row r="12" spans="1:10">
      <c r="A12" s="2">
        <v>4</v>
      </c>
      <c r="B12" s="7">
        <v>10000</v>
      </c>
      <c r="C12" s="8" t="s">
        <v>124</v>
      </c>
      <c r="D12" s="9">
        <f>SUM($B$9:B12)/$C$1</f>
        <v>0.11764705882352941</v>
      </c>
      <c r="E12" s="23">
        <f t="shared" si="0"/>
        <v>300000</v>
      </c>
      <c r="I12">
        <v>2020</v>
      </c>
      <c r="J12" s="1">
        <f>SUM(B18:B21)</f>
        <v>40000</v>
      </c>
    </row>
    <row r="13" spans="1:10">
      <c r="A13" s="2">
        <v>5</v>
      </c>
      <c r="B13" s="7">
        <v>10000</v>
      </c>
      <c r="C13" s="8" t="s">
        <v>125</v>
      </c>
      <c r="D13" s="9">
        <f>SUM($B$9:B13)/$C$1</f>
        <v>0.14705882352941177</v>
      </c>
      <c r="E13" s="23">
        <f t="shared" si="0"/>
        <v>290000</v>
      </c>
      <c r="I13">
        <v>2021</v>
      </c>
      <c r="J13" s="1">
        <f>SUM(B22:B25)</f>
        <v>40000</v>
      </c>
    </row>
    <row r="14" spans="1:10">
      <c r="A14" s="2">
        <v>6</v>
      </c>
      <c r="B14" s="4">
        <v>10000</v>
      </c>
      <c r="C14" s="12" t="s">
        <v>127</v>
      </c>
      <c r="D14" s="9">
        <f>SUM($B$9:B14)/$C$1</f>
        <v>0.17647058823529413</v>
      </c>
      <c r="E14" s="23">
        <f t="shared" si="0"/>
        <v>280000</v>
      </c>
      <c r="I14">
        <v>2022</v>
      </c>
      <c r="J14" s="1">
        <f>SUM(B26:B29)</f>
        <v>40000</v>
      </c>
    </row>
    <row r="15" spans="1:10">
      <c r="A15" s="2">
        <v>7</v>
      </c>
      <c r="B15" s="4">
        <v>10000</v>
      </c>
      <c r="C15" s="12" t="s">
        <v>128</v>
      </c>
      <c r="D15" s="9">
        <f>SUM($B$9:B15)/$C$1</f>
        <v>0.20588235294117646</v>
      </c>
      <c r="E15" s="23">
        <f t="shared" si="0"/>
        <v>270000</v>
      </c>
      <c r="I15">
        <v>2023</v>
      </c>
      <c r="J15" s="1">
        <f>SUM(B30:B33)</f>
        <v>40000</v>
      </c>
    </row>
    <row r="16" spans="1:10">
      <c r="A16" s="2">
        <v>8</v>
      </c>
      <c r="B16" s="4">
        <v>10000</v>
      </c>
      <c r="C16" s="12" t="s">
        <v>129</v>
      </c>
      <c r="D16" s="9">
        <f>SUM($B$9:B16)/$C$1</f>
        <v>0.23529411764705882</v>
      </c>
      <c r="E16" s="1">
        <f t="shared" si="0"/>
        <v>260000</v>
      </c>
      <c r="I16">
        <v>2024</v>
      </c>
      <c r="J16" s="1">
        <f>SUM(B34:B37)</f>
        <v>40000</v>
      </c>
    </row>
    <row r="17" spans="1:10">
      <c r="A17" s="2">
        <v>9</v>
      </c>
      <c r="B17" s="4">
        <v>10000</v>
      </c>
      <c r="C17" s="12" t="s">
        <v>126</v>
      </c>
      <c r="D17" s="9">
        <f>SUM($B$9:B17)/$C$1</f>
        <v>0.26470588235294118</v>
      </c>
      <c r="E17" s="1">
        <f t="shared" si="0"/>
        <v>250000</v>
      </c>
      <c r="I17">
        <v>2025</v>
      </c>
      <c r="J17" s="1">
        <f>SUM(B38:B41)</f>
        <v>50000</v>
      </c>
    </row>
    <row r="18" spans="1:10">
      <c r="A18" s="2">
        <v>10</v>
      </c>
      <c r="B18" s="7">
        <v>10000</v>
      </c>
      <c r="C18" s="8" t="s">
        <v>130</v>
      </c>
      <c r="D18" s="9">
        <f>SUM($B$9:B18)/$C$1</f>
        <v>0.29411764705882354</v>
      </c>
      <c r="E18" s="1">
        <f t="shared" si="0"/>
        <v>240000</v>
      </c>
    </row>
    <row r="19" spans="1:10">
      <c r="A19" s="2">
        <v>11</v>
      </c>
      <c r="B19" s="7">
        <v>10000</v>
      </c>
      <c r="C19" s="8" t="s">
        <v>131</v>
      </c>
      <c r="D19" s="9">
        <f>SUM($B$9:B19)/$C$1</f>
        <v>0.3235294117647059</v>
      </c>
      <c r="E19" s="1">
        <f t="shared" si="0"/>
        <v>230000</v>
      </c>
      <c r="J19" s="1">
        <f>SUM(J9:J17)</f>
        <v>340000</v>
      </c>
    </row>
    <row r="20" spans="1:10">
      <c r="A20" s="2">
        <v>12</v>
      </c>
      <c r="B20" s="7">
        <v>10000</v>
      </c>
      <c r="C20" s="8" t="s">
        <v>132</v>
      </c>
      <c r="D20" s="9">
        <f>SUM($B$9:B20)/$C$1</f>
        <v>0.35294117647058826</v>
      </c>
      <c r="E20" s="1">
        <f t="shared" si="0"/>
        <v>220000</v>
      </c>
    </row>
    <row r="21" spans="1:10">
      <c r="A21" s="2">
        <v>13</v>
      </c>
      <c r="B21" s="7">
        <v>10000</v>
      </c>
      <c r="C21" s="8" t="s">
        <v>133</v>
      </c>
      <c r="D21" s="9">
        <f>SUM($B$9:B21)/$C$1</f>
        <v>0.38235294117647056</v>
      </c>
      <c r="E21" s="1">
        <f t="shared" si="0"/>
        <v>210000</v>
      </c>
    </row>
    <row r="22" spans="1:10">
      <c r="A22" s="2">
        <v>14</v>
      </c>
      <c r="B22" s="4">
        <v>10000</v>
      </c>
      <c r="C22" s="12" t="s">
        <v>134</v>
      </c>
      <c r="D22" s="9">
        <f>SUM($B$9:B22)/$C$1</f>
        <v>0.41176470588235292</v>
      </c>
      <c r="E22" s="1">
        <f t="shared" si="0"/>
        <v>200000</v>
      </c>
    </row>
    <row r="23" spans="1:10">
      <c r="A23" s="2">
        <v>15</v>
      </c>
      <c r="B23" s="4">
        <v>10000</v>
      </c>
      <c r="C23" s="12" t="s">
        <v>135</v>
      </c>
      <c r="D23" s="9">
        <f>SUM($B$9:B23)/$C$1</f>
        <v>0.44117647058823528</v>
      </c>
      <c r="E23" s="1">
        <f t="shared" si="0"/>
        <v>190000</v>
      </c>
    </row>
    <row r="24" spans="1:10">
      <c r="A24" s="2">
        <v>16</v>
      </c>
      <c r="B24" s="4">
        <v>10000</v>
      </c>
      <c r="C24" s="12" t="s">
        <v>136</v>
      </c>
      <c r="D24" s="9">
        <f>SUM($B$9:B24)/$C$1</f>
        <v>0.47058823529411764</v>
      </c>
      <c r="E24" s="1">
        <f t="shared" si="0"/>
        <v>180000</v>
      </c>
    </row>
    <row r="25" spans="1:10">
      <c r="A25" s="2">
        <v>17</v>
      </c>
      <c r="B25" s="4">
        <v>10000</v>
      </c>
      <c r="C25" s="12" t="s">
        <v>137</v>
      </c>
      <c r="D25" s="9">
        <f>SUM($B$9:B25)/$C$1</f>
        <v>0.5</v>
      </c>
      <c r="E25" s="1">
        <f t="shared" si="0"/>
        <v>170000</v>
      </c>
    </row>
    <row r="26" spans="1:10">
      <c r="A26" s="2">
        <v>18</v>
      </c>
      <c r="B26" s="7">
        <v>10000</v>
      </c>
      <c r="C26" s="8" t="s">
        <v>138</v>
      </c>
      <c r="D26" s="9">
        <f>SUM($B$9:B26)/$C$1</f>
        <v>0.52941176470588236</v>
      </c>
      <c r="E26" s="1">
        <f t="shared" si="0"/>
        <v>160000</v>
      </c>
    </row>
    <row r="27" spans="1:10">
      <c r="A27" s="2">
        <v>19</v>
      </c>
      <c r="B27" s="7">
        <v>10000</v>
      </c>
      <c r="C27" s="8" t="s">
        <v>139</v>
      </c>
      <c r="D27" s="9">
        <f>SUM($B$9:B27)/$C$1</f>
        <v>0.55882352941176472</v>
      </c>
      <c r="E27" s="1">
        <f t="shared" si="0"/>
        <v>150000</v>
      </c>
    </row>
    <row r="28" spans="1:10">
      <c r="A28" s="2">
        <v>20</v>
      </c>
      <c r="B28" s="7">
        <v>10000</v>
      </c>
      <c r="C28" s="8" t="s">
        <v>140</v>
      </c>
      <c r="D28" s="9">
        <f>SUM($B$9:B28)/$C$1</f>
        <v>0.58823529411764708</v>
      </c>
      <c r="E28" s="1">
        <f t="shared" si="0"/>
        <v>140000</v>
      </c>
    </row>
    <row r="29" spans="1:10">
      <c r="A29" s="2">
        <v>21</v>
      </c>
      <c r="B29" s="7">
        <v>10000</v>
      </c>
      <c r="C29" s="8" t="s">
        <v>141</v>
      </c>
      <c r="D29" s="9">
        <f>SUM($B$9:B29)/$C$1</f>
        <v>0.61764705882352944</v>
      </c>
      <c r="E29" s="1">
        <f t="shared" si="0"/>
        <v>130000</v>
      </c>
    </row>
    <row r="30" spans="1:10">
      <c r="A30" s="2">
        <v>22</v>
      </c>
      <c r="B30" s="4">
        <v>10000</v>
      </c>
      <c r="C30" s="12" t="s">
        <v>142</v>
      </c>
      <c r="D30" s="9">
        <f>SUM($B$9:B30)/$C$1</f>
        <v>0.6470588235294118</v>
      </c>
      <c r="E30" s="1">
        <f t="shared" si="0"/>
        <v>120000</v>
      </c>
    </row>
    <row r="31" spans="1:10">
      <c r="A31" s="2">
        <v>23</v>
      </c>
      <c r="B31" s="4">
        <v>10000</v>
      </c>
      <c r="C31" s="12" t="s">
        <v>143</v>
      </c>
      <c r="D31" s="9">
        <f>SUM($B$9:B31)/$C$1</f>
        <v>0.67647058823529416</v>
      </c>
      <c r="E31" s="1">
        <f t="shared" si="0"/>
        <v>110000</v>
      </c>
    </row>
    <row r="32" spans="1:10">
      <c r="A32" s="2">
        <v>24</v>
      </c>
      <c r="B32" s="4">
        <v>10000</v>
      </c>
      <c r="C32" s="12" t="s">
        <v>144</v>
      </c>
      <c r="D32" s="9">
        <f>SUM($B$9:B32)/$C$1</f>
        <v>0.70588235294117652</v>
      </c>
      <c r="E32" s="1">
        <f t="shared" si="0"/>
        <v>100000</v>
      </c>
    </row>
    <row r="33" spans="1:5">
      <c r="A33" s="2">
        <v>25</v>
      </c>
      <c r="B33" s="4">
        <v>10000</v>
      </c>
      <c r="C33" s="12" t="s">
        <v>145</v>
      </c>
      <c r="D33" s="9">
        <f>SUM($B$9:B33)/$C$1</f>
        <v>0.73529411764705888</v>
      </c>
      <c r="E33" s="1">
        <f t="shared" si="0"/>
        <v>90000</v>
      </c>
    </row>
    <row r="34" spans="1:5">
      <c r="A34" s="2">
        <v>26</v>
      </c>
      <c r="B34" s="7">
        <v>10000</v>
      </c>
      <c r="C34" s="8" t="s">
        <v>146</v>
      </c>
      <c r="D34" s="9">
        <f>SUM($B$9:B34)/$C$1</f>
        <v>0.76470588235294112</v>
      </c>
      <c r="E34" s="1">
        <f t="shared" si="0"/>
        <v>80000</v>
      </c>
    </row>
    <row r="35" spans="1:5">
      <c r="A35" s="2">
        <v>27</v>
      </c>
      <c r="B35" s="7">
        <v>10000</v>
      </c>
      <c r="C35" s="8" t="s">
        <v>147</v>
      </c>
      <c r="D35" s="9">
        <f>SUM($B$9:B35)/$C$1</f>
        <v>0.79411764705882348</v>
      </c>
      <c r="E35" s="1">
        <f t="shared" si="0"/>
        <v>70000</v>
      </c>
    </row>
    <row r="36" spans="1:5">
      <c r="A36" s="2">
        <v>28</v>
      </c>
      <c r="B36" s="7">
        <v>10000</v>
      </c>
      <c r="C36" s="8" t="s">
        <v>148</v>
      </c>
      <c r="D36" s="9">
        <f>SUM($B$9:B36)/$C$1</f>
        <v>0.82352941176470584</v>
      </c>
      <c r="E36" s="1">
        <f t="shared" si="0"/>
        <v>60000</v>
      </c>
    </row>
    <row r="37" spans="1:5">
      <c r="A37" s="2">
        <v>29</v>
      </c>
      <c r="B37" s="7">
        <v>10000</v>
      </c>
      <c r="C37" s="8" t="s">
        <v>149</v>
      </c>
      <c r="D37" s="9">
        <f>SUM($B$9:B37)/$C$1</f>
        <v>0.8529411764705882</v>
      </c>
      <c r="E37" s="1">
        <f t="shared" si="0"/>
        <v>50000</v>
      </c>
    </row>
    <row r="38" spans="1:5">
      <c r="A38" s="2">
        <v>30</v>
      </c>
      <c r="B38" s="4">
        <v>12500</v>
      </c>
      <c r="C38" s="12" t="s">
        <v>150</v>
      </c>
      <c r="D38" s="9">
        <f>SUM($B$9:B38)/$C$1</f>
        <v>0.88970588235294112</v>
      </c>
      <c r="E38" s="1">
        <f t="shared" si="0"/>
        <v>37500</v>
      </c>
    </row>
    <row r="39" spans="1:5">
      <c r="A39" s="2">
        <v>31</v>
      </c>
      <c r="B39" s="4">
        <v>12500</v>
      </c>
      <c r="C39" s="12" t="s">
        <v>151</v>
      </c>
      <c r="D39" s="9">
        <f>SUM($B$9:B39)/$C$1</f>
        <v>0.92647058823529416</v>
      </c>
      <c r="E39" s="1">
        <f t="shared" si="0"/>
        <v>25000</v>
      </c>
    </row>
    <row r="40" spans="1:5">
      <c r="A40" s="2">
        <v>32</v>
      </c>
      <c r="B40" s="4">
        <v>12500</v>
      </c>
      <c r="C40" s="12" t="s">
        <v>152</v>
      </c>
      <c r="D40" s="9">
        <f>SUM($B$9:B40)/$C$1</f>
        <v>0.96323529411764708</v>
      </c>
      <c r="E40" s="1">
        <f t="shared" si="0"/>
        <v>12500</v>
      </c>
    </row>
    <row r="41" spans="1:5">
      <c r="A41" s="2">
        <v>33</v>
      </c>
      <c r="B41" s="4">
        <v>12500</v>
      </c>
      <c r="C41" s="12" t="s">
        <v>153</v>
      </c>
      <c r="D41" s="9">
        <f>SUM($B$9:B41)/$C$1</f>
        <v>1</v>
      </c>
      <c r="E41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TOTAL</vt:lpstr>
      <vt:lpstr>Arkusz1</vt:lpstr>
      <vt:lpstr>dług WPF</vt:lpstr>
      <vt:lpstr>WF-GW.e2</vt:lpstr>
      <vt:lpstr>WF-GW.e3</vt:lpstr>
      <vt:lpstr>BS-pałac</vt:lpstr>
      <vt:lpstr>BS-SP</vt:lpstr>
      <vt:lpstr>BS-d17</vt:lpstr>
      <vt:lpstr>BS-i16</vt:lpstr>
      <vt:lpstr>załącznik 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Pan/Pani Stażysta</dc:creator>
  <cp:lastModifiedBy>Agnieszka Hudzińska</cp:lastModifiedBy>
  <dcterms:created xsi:type="dcterms:W3CDTF">2019-07-18T09:34:22Z</dcterms:created>
  <dcterms:modified xsi:type="dcterms:W3CDTF">2024-06-10T07:08:17Z</dcterms:modified>
</cp:coreProperties>
</file>